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ОДЕРЖАНИЕ" sheetId="1" r:id="rId1"/>
    <sheet name=" OLYMPIA 3" sheetId="2" r:id="rId2"/>
    <sheet name="GOLDEN BEACH 3" sheetId="3" r:id="rId3"/>
    <sheet name="DIZENGOFF 3 SUP" sheetId="4" r:id="rId4"/>
    <sheet name="GRAND BEACH 4" sheetId="5" r:id="rId5"/>
    <sheet name="CROWNE PLAZA 4 SUP" sheetId="6" r:id="rId6"/>
    <sheet name="CARLTON 5" sheetId="7" r:id="rId7"/>
  </sheets>
  <definedNames>
    <definedName name="_xlnm.Print_Area" localSheetId="1">' OLYMPIA 3'!$A$1:$K$35</definedName>
    <definedName name="_xlnm.Print_Area" localSheetId="6">'CARLTON 5'!$A$1:$L$52</definedName>
    <definedName name="_xlnm.Print_Area" localSheetId="5">'CROWNE PLAZA 4 SUP'!$A$1:$L$81</definedName>
    <definedName name="_xlnm.Print_Area" localSheetId="3">'DIZENGOFF 3 SUP'!$A$1:$K$79</definedName>
    <definedName name="_xlnm.Print_Area" localSheetId="2">'GOLDEN BEACH 3'!$A$1:$O$32</definedName>
    <definedName name="_xlnm.Print_Area" localSheetId="0">'СОДЕРЖАНИЕ'!$A$1:$F$50</definedName>
  </definedNames>
  <calcPr fullCalcOnLoad="1"/>
</workbook>
</file>

<file path=xl/sharedStrings.xml><?xml version="1.0" encoding="utf-8"?>
<sst xmlns="http://schemas.openxmlformats.org/spreadsheetml/2006/main" count="792" uniqueCount="305">
  <si>
    <t xml:space="preserve">ЧЕТЫРЕ МОРЯ </t>
  </si>
  <si>
    <t>3 ночи Тель Авив, 3 ночи Эйлат Красное море, 1 ночь Тель Авив (в Тель Авиве Средиземное море)</t>
  </si>
  <si>
    <t>ЯНВАРЬ:</t>
  </si>
  <si>
    <t>09 - 16.01.12,</t>
  </si>
  <si>
    <t xml:space="preserve">16 - 23.01.12, </t>
  </si>
  <si>
    <t>23 - 30.01.12,</t>
  </si>
  <si>
    <t>30.01 - 06.02.12</t>
  </si>
  <si>
    <r>
      <t>ФЕВРАЛЬ:</t>
    </r>
    <r>
      <rPr>
        <sz val="12"/>
        <color indexed="21"/>
        <rFont val="Times New Roman"/>
        <family val="1"/>
      </rPr>
      <t xml:space="preserve">    </t>
    </r>
    <r>
      <rPr>
        <u val="single"/>
        <sz val="14"/>
        <color indexed="18"/>
        <rFont val="Times New Roman"/>
        <family val="1"/>
      </rPr>
      <t xml:space="preserve">    </t>
    </r>
  </si>
  <si>
    <t>06 - 13.02.12,</t>
  </si>
  <si>
    <t>13 - 20.02.12,</t>
  </si>
  <si>
    <t>20 - 27.02.12</t>
  </si>
  <si>
    <r>
      <t>Еврейские праздники в этот период:</t>
    </r>
    <r>
      <rPr>
        <b/>
        <sz val="11"/>
        <color indexed="10"/>
        <rFont val="Cambria"/>
        <family val="1"/>
      </rPr>
      <t xml:space="preserve"> </t>
    </r>
    <r>
      <rPr>
        <b/>
        <sz val="11"/>
        <color indexed="17"/>
        <rFont val="Cambria"/>
        <family val="1"/>
      </rPr>
      <t>20 - 28.12 ХАНУКА.</t>
    </r>
  </si>
  <si>
    <t>ГЛАВНАЯ ОСОБЕННОСТЬ НАШИХ ТУРОВ – ЭКСКУРСИИ В ИЕРУСАЛИМ И ХРИСТИАНСКУЮ ГАЛИЛЕЮ В МИНИГРУППАХ ДО 16 ЧЕЛОВЕК, А ТАКЖЕ НА ТРАНСФЕРЕ АЭРОПОРТ – ГОСТИНИЦА НЕТ ДЛИТЕЛЬНОГО  ОЖИДАНИЯ ДРУГИХ РЕЙСОВ.</t>
  </si>
  <si>
    <t xml:space="preserve">1 день </t>
  </si>
  <si>
    <t>Прибытие в аэропорт им. Бен Гуриона. Встреча службой аэропорта после паспортного контроля.</t>
  </si>
  <si>
    <t>Трансфер в Тель Авив. Размещение в гостинице.</t>
  </si>
  <si>
    <r>
      <t>2 день</t>
    </r>
    <r>
      <rPr>
        <sz val="12"/>
        <color indexed="8"/>
        <rFont val="Times New Roman"/>
        <family val="1"/>
      </rPr>
      <t xml:space="preserve"> </t>
    </r>
  </si>
  <si>
    <r>
      <t>Э</t>
    </r>
    <r>
      <rPr>
        <sz val="12"/>
        <color indexed="8"/>
        <rFont val="Times New Roman"/>
        <family val="1"/>
      </rPr>
      <t>кскурсия в Христианскую Галилею по библейским местам. Назарет – Храм Благовещения.</t>
    </r>
  </si>
  <si>
    <t xml:space="preserve"> Табха – Чудо Умножения Хлебов и Рыбы. Река Иордан – место крещения паломников.</t>
  </si>
  <si>
    <t xml:space="preserve"> Озеро Кинерет – Тивериадское море. По возможности посещение Храма 12 апостолов.</t>
  </si>
  <si>
    <r>
      <t>3 день</t>
    </r>
    <r>
      <rPr>
        <sz val="12"/>
        <color indexed="8"/>
        <rFont val="Times New Roman"/>
        <family val="1"/>
      </rPr>
      <t xml:space="preserve"> </t>
    </r>
  </si>
  <si>
    <r>
      <t>«</t>
    </r>
    <r>
      <rPr>
        <sz val="14"/>
        <color indexed="8"/>
        <rFont val="Bookman Old Style"/>
        <family val="1"/>
      </rPr>
      <t>В</t>
    </r>
    <r>
      <rPr>
        <sz val="12"/>
        <color indexed="8"/>
        <rFont val="Times New Roman"/>
        <family val="1"/>
      </rPr>
      <t>осхождение» в Иерусалим – вечно молодой город с 3000-летней  историей. Панорама Иерусалима.  Гефсиманский сад, Храм Всех Наций. Гора Сион – горница Тайной Вечери и гробница царя Давида – основателя Иерусалима. Старый город – древняя часть Иерусалима, окруженная, крепостной стеной. Стена Плача – древняя еврейская Святыня. Храм Воскресения: Гроб Господень, гора Голгофа, Камень Миропомазания, последние станции Виа Долороса и другие Святыни Храма.</t>
    </r>
  </si>
  <si>
    <r>
      <t>4 день</t>
    </r>
    <r>
      <rPr>
        <sz val="12"/>
        <color indexed="8"/>
        <rFont val="Times New Roman"/>
        <family val="1"/>
      </rPr>
      <t xml:space="preserve"> </t>
    </r>
  </si>
  <si>
    <r>
      <t>П</t>
    </r>
    <r>
      <rPr>
        <sz val="12"/>
        <color indexed="8"/>
        <rFont val="Times New Roman"/>
        <family val="1"/>
      </rPr>
      <t>ереезд в Эйлат – курортный город на берегу Красного моря. По дороге остановка на Мертвом море (под запрос). Размещение в гостинице в Эйлате.</t>
    </r>
  </si>
  <si>
    <t>5 - 6 дни</t>
  </si>
  <si>
    <r>
      <t>О</t>
    </r>
    <r>
      <rPr>
        <sz val="12"/>
        <color indexed="8"/>
        <rFont val="Times New Roman"/>
        <family val="1"/>
      </rPr>
      <t>тдых в Эйлате. На месте возможно заказать дополнительные аттракции: подводная обсерватория, яхта, дельфинарий с возможностью поплавать с дельфинами и сделать видеосъемку, подводное плавание, поездка на джипах по пустыни и многое другое.</t>
    </r>
  </si>
  <si>
    <r>
      <t>7 день</t>
    </r>
    <r>
      <rPr>
        <sz val="12"/>
        <color indexed="8"/>
        <rFont val="Times New Roman"/>
        <family val="1"/>
      </rPr>
      <t xml:space="preserve"> </t>
    </r>
  </si>
  <si>
    <r>
      <t>П</t>
    </r>
    <r>
      <rPr>
        <sz val="12"/>
        <color indexed="8"/>
        <rFont val="Times New Roman"/>
        <family val="1"/>
      </rPr>
      <t>ереезд в Тель Авив. Размещение в гостинице.</t>
    </r>
  </si>
  <si>
    <r>
      <t>8 день</t>
    </r>
    <r>
      <rPr>
        <sz val="12"/>
        <color indexed="8"/>
        <rFont val="Times New Roman"/>
        <family val="1"/>
      </rPr>
      <t xml:space="preserve"> </t>
    </r>
  </si>
  <si>
    <r>
      <t>Э</t>
    </r>
    <r>
      <rPr>
        <sz val="12"/>
        <color indexed="8"/>
        <rFont val="Times New Roman"/>
        <family val="1"/>
      </rPr>
      <t>кскурсия по современному Тель-Авиву и древнему портовому городу Яффо, прогулка по парковым аллеям на берегу Средиземного моря, посещение национального центра алмазов.  Полдня, экскурсия бесплатная (экскурсия проводится, если вечерний рейс и есть время для экскурсии перед вылетом). Трансфер в аэропорт.</t>
    </r>
  </si>
  <si>
    <r>
      <t>В стоимость тура входит</t>
    </r>
    <r>
      <rPr>
        <u val="single"/>
        <sz val="12"/>
        <color indexed="62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 размещение в гостиницах на выбор, питание, указанное в таблице, встреча </t>
    </r>
  </si>
  <si>
    <r>
      <t xml:space="preserve">службой аэропорта после паспортного контроля, трансферы по маршруту – </t>
    </r>
    <r>
      <rPr>
        <b/>
        <sz val="12"/>
        <color indexed="8"/>
        <rFont val="Times New Roman"/>
        <family val="1"/>
      </rPr>
      <t xml:space="preserve">без ожидания в аэропорту </t>
    </r>
  </si>
  <si>
    <r>
      <t>других рейсов</t>
    </r>
    <r>
      <rPr>
        <sz val="12"/>
        <color indexed="8"/>
        <rFont val="Times New Roman"/>
        <family val="1"/>
      </rPr>
      <t>, экскурсионная программа с русскоговорящим гидом.</t>
    </r>
  </si>
  <si>
    <r>
      <t>Q</t>
    </r>
    <r>
      <rPr>
        <sz val="12"/>
        <rFont val="Cambria"/>
        <family val="1"/>
      </rPr>
      <t xml:space="preserve"> Авиаперелет Киев - Тель Авив - Киев</t>
    </r>
    <r>
      <rPr>
        <sz val="12"/>
        <color indexed="10"/>
        <rFont val="Cambria"/>
        <family val="1"/>
      </rPr>
      <t xml:space="preserve"> не входит</t>
    </r>
    <r>
      <rPr>
        <sz val="12"/>
        <rFont val="Cambria"/>
        <family val="1"/>
      </rPr>
      <t xml:space="preserve"> в стоимость тура, минимальная цена от $300 и</t>
    </r>
  </si>
  <si>
    <t xml:space="preserve">выше в зависимости от тарифа на момент бронирования. </t>
  </si>
  <si>
    <t>Периодически авиакомпании предлагают спецтариф, запрашивайте при бронировании.</t>
  </si>
  <si>
    <t>Медстраховка $8 на человека (до 69 лет, если старше, то за доплату).</t>
  </si>
  <si>
    <t>ЦЕНЫ НА ТУР СМ. ВНИЗУ В ЗАКЛАДКАХ. ЗАКЛАДКИ РАСПРЕДЕЛЕНЫ ПО КАТЕГОРИЯМ ГОСТИНИЦ - 3*,4*,5*.</t>
  </si>
  <si>
    <r>
      <t xml:space="preserve"> </t>
    </r>
    <r>
      <rPr>
        <b/>
        <u val="single"/>
        <sz val="12"/>
        <color indexed="10"/>
        <rFont val="Times New Roman"/>
        <family val="1"/>
      </rPr>
      <t>ВАЖНЫЕ   ПРИМЕЧАНИЯ</t>
    </r>
  </si>
  <si>
    <t xml:space="preserve">Главная особенность и эксклюзив наших туров – экскурсии в Иерусалим и Христианскую Галилию </t>
  </si>
  <si>
    <t>в минигруппе 10-16 человек, нет длительного объезда по гостиницам, выезд на экскурсии в 09:00.</t>
  </si>
  <si>
    <t>Возможна замена экскурсий в минигруппе на экскурсии в большой группе, в этом случае стоимость тура</t>
  </si>
  <si>
    <t>будет дешевле на $30 на человека и будет более ранний выезд на экскурсии и объезд по гостиницам, также</t>
  </si>
  <si>
    <t>возможны небольшие изменения в маршруте экскурсий. В какой группе будут экскурсии (в маленькой</t>
  </si>
  <si>
    <t>или в большой) будет сообщено за неделю до вылета.</t>
  </si>
  <si>
    <t>На одноместный номер скидка $70, если в одной заявке бронируется более, чем один человек.</t>
  </si>
  <si>
    <t>По желанию клиента возможно бронирование других гостиниц, мы предлагаем наиболее популярные</t>
  </si>
  <si>
    <t xml:space="preserve">гостиницы по соотношению «цена – качество». </t>
  </si>
  <si>
    <t>Возможны изменения в очередности дней по туру.</t>
  </si>
  <si>
    <t>Возможны некоторые изменения в описании экскурсий .</t>
  </si>
  <si>
    <t>Места в гостиницах под запрос на момент бронирования.</t>
  </si>
  <si>
    <r>
      <t xml:space="preserve">Срок действия заграничного паспорта должен заканчиваться не ранее, чем через 6 месяцев со дня въезда в Государство Израиль. Если у ребенка детский проездной, то </t>
    </r>
    <r>
      <rPr>
        <b/>
        <sz val="11"/>
        <color indexed="10"/>
        <rFont val="Times New Roman"/>
        <family val="1"/>
      </rPr>
      <t xml:space="preserve">нужна виза.
</t>
    </r>
  </si>
  <si>
    <r>
      <t>ЯНВАРЬ:</t>
    </r>
    <r>
      <rPr>
        <sz val="12"/>
        <color indexed="21"/>
        <rFont val="Times New Roman"/>
        <family val="1"/>
      </rPr>
      <t xml:space="preserve">        </t>
    </r>
    <r>
      <rPr>
        <u val="single"/>
        <sz val="14"/>
        <color indexed="18"/>
        <rFont val="Times New Roman"/>
        <family val="1"/>
      </rPr>
      <t>09 - 16.01.12,  16 - 23.01.12,  23.01 - 30.01.12,  30.01 - 06.02.12</t>
    </r>
  </si>
  <si>
    <r>
      <t>ФЕВРАЛЬ:</t>
    </r>
    <r>
      <rPr>
        <sz val="12"/>
        <color indexed="21"/>
        <rFont val="Times New Roman"/>
        <family val="1"/>
      </rPr>
      <t xml:space="preserve">     </t>
    </r>
    <r>
      <rPr>
        <u val="single"/>
        <sz val="14"/>
        <color indexed="18"/>
        <rFont val="Times New Roman"/>
        <family val="1"/>
      </rPr>
      <t>06 - 13.02.12,  13 - 20.02.12,  20 - 27.02.12</t>
    </r>
  </si>
  <si>
    <r>
      <t>Еврейские праздники в этот период:</t>
    </r>
    <r>
      <rPr>
        <b/>
        <sz val="10"/>
        <color indexed="10"/>
        <rFont val="Cambria"/>
        <family val="1"/>
      </rPr>
      <t xml:space="preserve"> </t>
    </r>
    <r>
      <rPr>
        <b/>
        <sz val="10"/>
        <color indexed="17"/>
        <rFont val="Cambria"/>
        <family val="1"/>
      </rPr>
      <t>12 - 19.10 СУККОТ, 20 - 28.12 ХАНУКА.</t>
    </r>
  </si>
  <si>
    <t>Краткое описание гостиниц: ТЕЛЬ АВИВ</t>
  </si>
  <si>
    <r>
      <t xml:space="preserve">"OLYMPIA" 3*, </t>
    </r>
    <r>
      <rPr>
        <b/>
        <sz val="12"/>
        <color indexed="8"/>
        <rFont val="Times New Roman"/>
        <family val="1"/>
      </rPr>
      <t>несколько минут ходьбы до набережной, в центре туристического Тель Авива.</t>
    </r>
  </si>
  <si>
    <t>ЭЙЛАТ</t>
  </si>
  <si>
    <r>
      <t>"AMERICANA" 3*</t>
    </r>
    <r>
      <rPr>
        <b/>
        <sz val="12"/>
        <color indexed="8"/>
        <rFont val="Times New Roman"/>
        <family val="1"/>
      </rPr>
      <t xml:space="preserve"> около 15 минут ходьбы до набережной.</t>
    </r>
  </si>
  <si>
    <r>
      <t>"CENTRAL PARK" 3*</t>
    </r>
    <r>
      <rPr>
        <b/>
        <sz val="12"/>
        <color indexed="8"/>
        <rFont val="Times New Roman"/>
        <family val="1"/>
      </rPr>
      <t xml:space="preserve"> рядом с аэропортом, около 15 минут ходьбы до набережной.</t>
    </r>
  </si>
  <si>
    <t>Питание в гостиницах:</t>
  </si>
  <si>
    <r>
      <t>ВВ</t>
    </r>
    <r>
      <rPr>
        <b/>
        <sz val="12"/>
        <color indexed="8"/>
        <rFont val="Times New Roman"/>
        <family val="1"/>
      </rPr>
      <t xml:space="preserve"> - завтраки по всему маршруту;</t>
    </r>
  </si>
  <si>
    <r>
      <t xml:space="preserve">ВВ + НВ + ВВ - </t>
    </r>
    <r>
      <rPr>
        <b/>
        <sz val="12"/>
        <color indexed="8"/>
        <rFont val="Times New Roman"/>
        <family val="1"/>
      </rPr>
      <t xml:space="preserve"> завтрак в Тель Авиве + завтрак и ужин в Эйлате + завтрак в Тель Авиве;</t>
    </r>
  </si>
  <si>
    <r>
      <t>НВ</t>
    </r>
    <r>
      <rPr>
        <b/>
        <sz val="12"/>
        <color indexed="8"/>
        <rFont val="Times New Roman"/>
        <family val="1"/>
      </rPr>
      <t xml:space="preserve"> - завтраки и ужин по всему маршруту.</t>
    </r>
  </si>
  <si>
    <t>СТОИМОСТЬ ДАНА НА ЧЕЛОВЕКА В НОМЕРЕ В ДОЛ. США.</t>
  </si>
  <si>
    <t xml:space="preserve">OLYMPIA 3* + AMERICANA  3* + OLYMPIA 3*
</t>
  </si>
  <si>
    <t>ДАТЫ ЗАЕЗДА</t>
  </si>
  <si>
    <t xml:space="preserve"> DBL BB </t>
  </si>
  <si>
    <t xml:space="preserve"> DBL                   BB + HB + BB</t>
  </si>
  <si>
    <t xml:space="preserve"> SNGL BB</t>
  </si>
  <si>
    <t>SNGL                       BB + HB + BB</t>
  </si>
  <si>
    <t xml:space="preserve">TRPL    BB  </t>
  </si>
  <si>
    <t>TRPL                     BB + HB + BB</t>
  </si>
  <si>
    <t xml:space="preserve">DBL + CHD (2-12) BB </t>
  </si>
  <si>
    <t xml:space="preserve"> DBL + CHD (2-12) BB + HB + BB</t>
  </si>
  <si>
    <t>7н</t>
  </si>
  <si>
    <t>05.12.11-19.12.11</t>
  </si>
  <si>
    <t>02.01.12-20.02.12</t>
  </si>
  <si>
    <t>OLYMPIA 3* + CENTRAL PARK 3* + OLYMPIA 3*</t>
  </si>
  <si>
    <t xml:space="preserve">DBL BB </t>
  </si>
  <si>
    <t> SNGL BB</t>
  </si>
  <si>
    <t xml:space="preserve">TRPL  BB  </t>
  </si>
  <si>
    <t xml:space="preserve">DBL + CHD         (2-12) BB </t>
  </si>
  <si>
    <t xml:space="preserve">DBL + CHD (12-14) BB </t>
  </si>
  <si>
    <t>05.12.11-26.12.11</t>
  </si>
  <si>
    <t>Доплата за 3 ужина в CENTRAL PARK на взрослого $90; ребёнок с (2 - 14) $63</t>
  </si>
  <si>
    <r>
      <t>Еврейские праздники в этот период:</t>
    </r>
    <r>
      <rPr>
        <b/>
        <sz val="10"/>
        <color indexed="10"/>
        <rFont val="Cambria"/>
        <family val="1"/>
      </rPr>
      <t xml:space="preserve"> </t>
    </r>
    <r>
      <rPr>
        <b/>
        <sz val="10"/>
        <color indexed="17"/>
        <rFont val="Cambria"/>
        <family val="1"/>
      </rPr>
      <t>20 - 28.12.11 ХАНУКА.</t>
    </r>
  </si>
  <si>
    <t>Краткое описание гостиниц:</t>
  </si>
  <si>
    <t>ТЕЛЬ АВИВ</t>
  </si>
  <si>
    <r>
      <t>"GOLDEN BEACH"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3*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через дорогу от набережной, доплата за номер Sea View.</t>
    </r>
  </si>
  <si>
    <t xml:space="preserve">ЭЙЛАТ </t>
  </si>
  <si>
    <r>
      <t xml:space="preserve">"CENTRAL PARK" 3* </t>
    </r>
    <r>
      <rPr>
        <b/>
        <sz val="12"/>
        <rFont val="Times New Roman"/>
        <family val="1"/>
      </rPr>
      <t>рядом с аэропортом, около 15 минут ходьбы до набережной.</t>
    </r>
  </si>
  <si>
    <r>
      <t xml:space="preserve">"ROYAL TULIP" 3*sup - 4* </t>
    </r>
    <r>
      <rPr>
        <b/>
        <sz val="12"/>
        <rFont val="Times New Roman"/>
        <family val="1"/>
      </rPr>
      <t>около 15 минут ходьбы до набережной.</t>
    </r>
  </si>
  <si>
    <r>
      <t>"ASTRAL SEASIDE" 3*sup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очень уютная гостиница, после ремонта, на набережной.</t>
    </r>
  </si>
  <si>
    <r>
      <t>ВВ</t>
    </r>
    <r>
      <rPr>
        <b/>
        <sz val="12"/>
        <color indexed="8"/>
        <rFont val="Times New Roman"/>
        <family val="1"/>
      </rPr>
      <t xml:space="preserve"> - завтраки по всему маршруту.</t>
    </r>
  </si>
  <si>
    <r>
      <t>НВ</t>
    </r>
    <r>
      <rPr>
        <b/>
        <sz val="12"/>
        <color indexed="8"/>
        <rFont val="Times New Roman"/>
        <family val="1"/>
      </rPr>
      <t>-завтраки и ужин</t>
    </r>
    <r>
      <rPr>
        <b/>
        <sz val="10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по всему ма</t>
    </r>
    <r>
      <rPr>
        <b/>
        <sz val="10"/>
        <color indexed="8"/>
        <rFont val="Times New Roman"/>
        <family val="1"/>
      </rPr>
      <t>ршруту.</t>
    </r>
  </si>
  <si>
    <r>
      <t xml:space="preserve">ВВ + НВ + ВВ - </t>
    </r>
    <r>
      <rPr>
        <b/>
        <sz val="12"/>
        <color indexed="8"/>
        <rFont val="Times New Roman"/>
        <family val="1"/>
      </rPr>
      <t xml:space="preserve"> завтрак в Тель Авиве + завтрак и ужин в Эйлате + завтрак в Тель Авиве.</t>
    </r>
  </si>
  <si>
    <t>GOLDEN BEACH 3* + CENTRAL PARK 3* + GOLDEN BEACH 3*</t>
  </si>
  <si>
    <t xml:space="preserve">DBL    BB </t>
  </si>
  <si>
    <t xml:space="preserve"> DBL                 HB</t>
  </si>
  <si>
    <t>SNGL  HB</t>
  </si>
  <si>
    <t>TRPL    HB</t>
  </si>
  <si>
    <t xml:space="preserve">DBL+CHD (2-12) BB </t>
  </si>
  <si>
    <t xml:space="preserve">DBL+CHD            (12-14) BB </t>
  </si>
  <si>
    <t xml:space="preserve">DBL+CHD          (2-12) HB </t>
  </si>
  <si>
    <t xml:space="preserve"> DBL+CHD (12-14) HB </t>
  </si>
  <si>
    <t>28.11.11-26.12.11</t>
  </si>
  <si>
    <t>GOLDEN BEACH 3* + ROYAL TULIP 3*SUP. -4*  +  GOLDEN BEACH 3*</t>
  </si>
  <si>
    <r>
      <t>DBL+CHD (12-18) BB</t>
    </r>
    <r>
      <rPr>
        <b/>
        <sz val="8"/>
        <color indexed="56"/>
        <rFont val="Arial"/>
        <family val="2"/>
      </rPr>
      <t xml:space="preserve"> </t>
    </r>
  </si>
  <si>
    <t>28.11.11-19.12.11</t>
  </si>
  <si>
    <t>09.01.12-20.02.12</t>
  </si>
  <si>
    <t>26.12.11-02.01.12</t>
  </si>
  <si>
    <t>GOLDEN BEACH 3* +  ASTRAL SEASIDE 3*SUP.  +  GOLDEN BEACH 3*</t>
  </si>
  <si>
    <t xml:space="preserve"> DBL    BB </t>
  </si>
  <si>
    <t xml:space="preserve"> DBL   HB</t>
  </si>
  <si>
    <t xml:space="preserve">DBL+CHD   (12-13) BB </t>
  </si>
  <si>
    <t xml:space="preserve">DBL+CHD (2-12) HB </t>
  </si>
  <si>
    <t xml:space="preserve">DBL+CHD (12-13) HB </t>
  </si>
  <si>
    <r>
      <t>"D</t>
    </r>
    <r>
      <rPr>
        <b/>
        <sz val="11"/>
        <color indexed="10"/>
        <rFont val="Times New Roman"/>
        <family val="1"/>
      </rPr>
      <t>IZENGOFF SUITES" 3*sup</t>
    </r>
    <r>
      <rPr>
        <b/>
        <sz val="11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>в 5 -7 минутах езды до набережной, номер спальня + миникухня + небольшая комната.</t>
    </r>
  </si>
  <si>
    <r>
      <t>"YAM SUF"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4*</t>
    </r>
    <r>
      <rPr>
        <b/>
        <sz val="12"/>
        <color indexed="8"/>
        <rFont val="Times New Roman"/>
        <family val="1"/>
      </rPr>
      <t xml:space="preserve"> - не в городе, через дорогу от моря, клуб подводного плавания.                                         </t>
    </r>
    <r>
      <rPr>
        <b/>
        <sz val="12"/>
        <color indexed="10"/>
        <rFont val="Times New Roman"/>
        <family val="1"/>
      </rPr>
      <t>01.01.12 – 01.04.12</t>
    </r>
    <r>
      <rPr>
        <b/>
        <sz val="12"/>
        <color indexed="8"/>
        <rFont val="Times New Roman"/>
        <family val="1"/>
      </rPr>
      <t xml:space="preserve"> в гостинице частично проводится ремонт в номерах garden и в свитах.</t>
    </r>
  </si>
  <si>
    <r>
      <t>ASTRAL SEASIDE 3*sup</t>
    </r>
    <r>
      <rPr>
        <b/>
        <sz val="12"/>
        <color indexed="8"/>
        <rFont val="Times New Roman"/>
        <family val="1"/>
      </rPr>
      <t xml:space="preserve">  -  уютная обновленная гостиница на набережной.</t>
    </r>
  </si>
  <si>
    <r>
      <t>CROWNE PLAZA 4*</t>
    </r>
    <r>
      <rPr>
        <b/>
        <sz val="12"/>
        <color indexed="8"/>
        <rFont val="Times New Roman"/>
        <family val="1"/>
      </rPr>
      <t xml:space="preserve"> - около 10 минут ходьбы до моря.</t>
    </r>
  </si>
  <si>
    <r>
      <t>DAN PANORAMA 4*</t>
    </r>
    <r>
      <rPr>
        <b/>
        <sz val="12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>до моря около 6 мин. ходьбы, доплата за номер Superior Lagoon View $50 за весь период.</t>
    </r>
  </si>
  <si>
    <r>
      <t>SPORT CLUB 3* SUP</t>
    </r>
    <r>
      <rPr>
        <b/>
        <sz val="12"/>
        <color indexed="8"/>
        <rFont val="Times New Roman"/>
        <family val="1"/>
      </rPr>
      <t xml:space="preserve"> - около 3 минут ходьбы до моря. </t>
    </r>
    <r>
      <rPr>
        <b/>
        <sz val="12"/>
        <color indexed="10"/>
        <rFont val="Times New Roman"/>
        <family val="1"/>
      </rPr>
      <t>C 15.12.11 гостиница закрывается на ремонт.</t>
    </r>
  </si>
  <si>
    <r>
      <t xml:space="preserve">KING SOLOMON 4* - </t>
    </r>
    <r>
      <rPr>
        <b/>
        <sz val="12"/>
        <color indexed="8"/>
        <rFont val="Times New Roman"/>
        <family val="1"/>
      </rPr>
      <t>около 5 минут ходьбы до моря, на ужин бесплатно напитки изр. пр-ва.</t>
    </r>
  </si>
  <si>
    <r>
      <t>LEONARDO PLAZA 4* -</t>
    </r>
    <r>
      <rPr>
        <b/>
        <sz val="12"/>
        <rFont val="Times New Roman"/>
        <family val="1"/>
      </rPr>
      <t xml:space="preserve"> (бывшая SHERATON)  на набережной.</t>
    </r>
  </si>
  <si>
    <r>
      <t>LAGOONA 4*</t>
    </r>
    <r>
      <rPr>
        <b/>
        <sz val="12"/>
        <color indexed="8"/>
        <rFont val="Times New Roman"/>
        <family val="1"/>
      </rPr>
      <t xml:space="preserve"> - около 5 минут ходьды до моря.</t>
    </r>
  </si>
  <si>
    <r>
      <t>RIMONIM (Neptun) 4*sup</t>
    </r>
    <r>
      <rPr>
        <b/>
        <sz val="12"/>
        <color indexed="8"/>
        <rFont val="Times New Roman"/>
        <family val="1"/>
      </rPr>
      <t xml:space="preserve"> - на набережной, гостиница обновлялась.</t>
    </r>
  </si>
  <si>
    <r>
      <t>НВ</t>
    </r>
    <r>
      <rPr>
        <b/>
        <sz val="11"/>
        <color indexed="8"/>
        <rFont val="Times New Roman"/>
        <family val="1"/>
      </rPr>
      <t xml:space="preserve"> - завтраки и ужин по всему </t>
    </r>
    <r>
      <rPr>
        <b/>
        <sz val="10"/>
        <color indexed="8"/>
        <rFont val="Times New Roman"/>
        <family val="1"/>
      </rPr>
      <t>маршруту;</t>
    </r>
  </si>
  <si>
    <r>
      <t xml:space="preserve">ВВ + ALL + ВВ - </t>
    </r>
    <r>
      <rPr>
        <b/>
        <sz val="12"/>
        <color indexed="8"/>
        <rFont val="Times New Roman"/>
        <family val="1"/>
      </rPr>
      <t xml:space="preserve"> завтрак в Тель Авиве + All Inclusive в Эйлате + завтрак в Тель Авиве.</t>
    </r>
  </si>
  <si>
    <t>DIZENGOFF 3* SUP. +  YAM SUF 4* + DIZENGOFF 3* SUP.</t>
  </si>
  <si>
    <t xml:space="preserve"> DBL                 BB+HB+BB</t>
  </si>
  <si>
    <t>SNGL                       BB+HB+BB</t>
  </si>
  <si>
    <t xml:space="preserve">TRPL BB  </t>
  </si>
  <si>
    <t>TRPL                     BB+HB+BB</t>
  </si>
  <si>
    <t xml:space="preserve">DBL+CHD          (2-18) BB </t>
  </si>
  <si>
    <t>DBL+CHD      (2-12)            BB+HB+BB</t>
  </si>
  <si>
    <t>DBL+CHD (12-18)   BB+HB+BB</t>
  </si>
  <si>
    <t>СТОИМОСТЬ ДАНА НА ЧЕЛОВЕКА В НОМЕРЕ  В ДОЛ. США.</t>
  </si>
  <si>
    <t>DIZENGOFF 3* SUP. + ASTRAL SEASIDE 3* SUP. + DIZENGOFF 3* SUP.</t>
  </si>
  <si>
    <t>DBL                   BB+HB+BB</t>
  </si>
  <si>
    <t xml:space="preserve"> SNGL BB </t>
  </si>
  <si>
    <t>TRPL BB</t>
  </si>
  <si>
    <t>TRPL                        BB+HB+BB</t>
  </si>
  <si>
    <t xml:space="preserve">DBL+CHD          (2-13) BB </t>
  </si>
  <si>
    <t>DBL+CHD      (2-13)             BB+HB+BB</t>
  </si>
  <si>
    <t>DIZENGOFF 3* SUP. + CROWNE PLAZA 4* + DIZENGOFF 3* SUP.</t>
  </si>
  <si>
    <t xml:space="preserve"> DBL+CHD    (2-18)          BB+HB+BB   </t>
  </si>
  <si>
    <t>28.11.11-20.02.12</t>
  </si>
  <si>
    <r>
      <t xml:space="preserve">DIZENGOFF 3* SUP. + DAN PANORAMA 4* + DIZENGOFF 3* SUP.
</t>
    </r>
    <r>
      <rPr>
        <b/>
        <sz val="10"/>
        <color indexed="18"/>
        <rFont val="Arial"/>
        <family val="2"/>
      </rPr>
      <t xml:space="preserve"> доплата за номер Superior Lagoon View $50 за весь период
</t>
    </r>
  </si>
  <si>
    <t xml:space="preserve"> DBL+CHD    (2-18)           BB+HB+BB   </t>
  </si>
  <si>
    <t>DIZENGOFF + SPORT CLUB 3* SUP. + DIZENGOFF</t>
  </si>
  <si>
    <t xml:space="preserve"> DBL                BB+AI+BB</t>
  </si>
  <si>
    <t>SNGL              BB+AI+BB</t>
  </si>
  <si>
    <t>TRPL             BB+AI+BB</t>
  </si>
  <si>
    <t xml:space="preserve">DBL+CHD     (2-12)           BB+AI+BB </t>
  </si>
  <si>
    <t>28.11.11-08.12.11</t>
  </si>
  <si>
    <t>DIZENGOFF + KING SOLOMON 4* + DIZENGOFF</t>
  </si>
  <si>
    <t xml:space="preserve"> DBL+CHD    (2-12)           BB+HB+BB   </t>
  </si>
  <si>
    <t>DIZENGOFF + LEONARDO PLAZA 4* + DIZENGOFF</t>
  </si>
  <si>
    <t xml:space="preserve">DIZENGOFF + LAGOONA 4* + DIZENGOFF </t>
  </si>
  <si>
    <t xml:space="preserve">DBL + CHD   (2-12)           BB+AI+BB </t>
  </si>
  <si>
    <t>DIZENGOFF + RIMONIM  4* + DIZENGOFF</t>
  </si>
  <si>
    <t xml:space="preserve">DBL  BB </t>
  </si>
  <si>
    <t>DBL               BB+HB+BB</t>
  </si>
  <si>
    <t>SNGL                        BB+HB+BB</t>
  </si>
  <si>
    <t>TRPL                    BB+HB+BB</t>
  </si>
  <si>
    <t>DBL+CHD   (2-14) BB</t>
  </si>
  <si>
    <t>DBL+CHD     (2-14)           BB+HB+BB</t>
  </si>
  <si>
    <r>
      <t>GRAND BEACH 4*среднего класса</t>
    </r>
    <r>
      <rPr>
        <b/>
        <sz val="12"/>
        <color indexed="8"/>
        <rFont val="Times New Roman"/>
        <family val="1"/>
      </rPr>
      <t>, в 5 минутах ходдьбы до набережной, номера обновлялись.</t>
    </r>
  </si>
  <si>
    <r>
      <t>YAM SUF 4*</t>
    </r>
    <r>
      <rPr>
        <b/>
        <sz val="12"/>
        <color indexed="8"/>
        <rFont val="Times New Roman"/>
        <family val="1"/>
      </rPr>
      <t xml:space="preserve"> - не в городе, через дорогу от моря, клуб подводного плавания.                                             </t>
    </r>
    <r>
      <rPr>
        <b/>
        <sz val="12"/>
        <color indexed="10"/>
        <rFont val="Times New Roman"/>
        <family val="1"/>
      </rPr>
      <t>01.01.12 – 01.04.12</t>
    </r>
    <r>
      <rPr>
        <b/>
        <sz val="12"/>
        <color indexed="8"/>
        <rFont val="Times New Roman"/>
        <family val="1"/>
      </rPr>
      <t xml:space="preserve"> в гостинице частично проводится ремонт в номерах garden и в свитах.</t>
    </r>
  </si>
  <si>
    <r>
      <t xml:space="preserve">ASTRAL SEASIDE 3*sup </t>
    </r>
    <r>
      <rPr>
        <b/>
        <sz val="12"/>
        <color indexed="8"/>
        <rFont val="Times New Roman"/>
        <family val="1"/>
      </rPr>
      <t xml:space="preserve"> на набережной, уютная обновленная гостиница.</t>
    </r>
  </si>
  <si>
    <r>
      <t>DAN PANORAMA 4*</t>
    </r>
    <r>
      <rPr>
        <b/>
        <sz val="12"/>
        <color indexed="8"/>
        <rFont val="Times New Roman"/>
        <family val="1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до моря около 6 мин. ходьбы, доплата за номер</t>
    </r>
    <r>
      <rPr>
        <b/>
        <sz val="12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Superior Lagoon View $50 за</t>
    </r>
    <r>
      <rPr>
        <b/>
        <sz val="10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ве</t>
    </r>
    <r>
      <rPr>
        <b/>
        <sz val="10"/>
        <color indexed="8"/>
        <rFont val="Times New Roman"/>
        <family val="1"/>
      </rPr>
      <t>сь</t>
    </r>
    <r>
      <rPr>
        <b/>
        <sz val="11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период.</t>
    </r>
  </si>
  <si>
    <r>
      <t>SPORT CLUB 3* SUP</t>
    </r>
    <r>
      <rPr>
        <b/>
        <sz val="12"/>
        <color indexed="8"/>
        <rFont val="Times New Roman"/>
        <family val="1"/>
      </rPr>
      <t xml:space="preserve"> около 3 минут ходьбы до моря. </t>
    </r>
    <r>
      <rPr>
        <b/>
        <sz val="12"/>
        <color indexed="10"/>
        <rFont val="Times New Roman"/>
        <family val="1"/>
      </rPr>
      <t>C 15.12.11 гостиница закрывается на ремонт.</t>
    </r>
  </si>
  <si>
    <r>
      <t>KING SOLOMON 4*</t>
    </r>
    <r>
      <rPr>
        <b/>
        <sz val="12"/>
        <color indexed="8"/>
        <rFont val="Times New Roman"/>
        <family val="1"/>
      </rPr>
      <t>около 5 минут ходьбы до моря, на ужин бесплатно напитки изр. пр-ва.</t>
    </r>
  </si>
  <si>
    <r>
      <t>LEONARDO PLAZA 4*</t>
    </r>
    <r>
      <rPr>
        <b/>
        <sz val="12"/>
        <rFont val="Times New Roman"/>
        <family val="1"/>
      </rPr>
      <t xml:space="preserve"> (бывшая SHERATON)  на набережной.</t>
    </r>
  </si>
  <si>
    <r>
      <t>LAGOONA 4*</t>
    </r>
    <r>
      <rPr>
        <b/>
        <sz val="12"/>
        <color indexed="8"/>
        <rFont val="Times New Roman"/>
        <family val="1"/>
      </rPr>
      <t xml:space="preserve"> около 5 минут ходьды до моря.</t>
    </r>
  </si>
  <si>
    <r>
      <t>RIMONIM  4*sup</t>
    </r>
    <r>
      <rPr>
        <b/>
        <sz val="12"/>
        <color indexed="8"/>
        <rFont val="Times New Roman"/>
        <family val="1"/>
      </rPr>
      <t xml:space="preserve"> на набережной, гостиница обновлялась.</t>
    </r>
  </si>
  <si>
    <r>
      <t xml:space="preserve">DAN 5* </t>
    </r>
    <r>
      <rPr>
        <b/>
        <sz val="12"/>
        <rFont val="Times New Roman"/>
        <family val="1"/>
      </rPr>
      <t>на набережной, все номера с балконами и видом на море.</t>
    </r>
  </si>
  <si>
    <r>
      <t xml:space="preserve">ROYAL BEACH 5* </t>
    </r>
    <r>
      <rPr>
        <b/>
        <sz val="12"/>
        <rFont val="Times New Roman"/>
        <family val="1"/>
      </rPr>
      <t>на набережной, большинство номеров с балконами ,все с видом на море.</t>
    </r>
  </si>
  <si>
    <r>
      <t xml:space="preserve">HERODS PALACE 5* </t>
    </r>
    <r>
      <rPr>
        <b/>
        <sz val="12"/>
        <rFont val="Times New Roman"/>
        <family val="1"/>
      </rPr>
      <t>на набережной, все номера с видом на море и большинство с балконом.</t>
    </r>
  </si>
  <si>
    <r>
      <t>НВ</t>
    </r>
    <r>
      <rPr>
        <b/>
        <sz val="12"/>
        <color indexed="8"/>
        <rFont val="Times New Roman"/>
        <family val="1"/>
      </rPr>
      <t xml:space="preserve"> - завтраки и ужин по всему </t>
    </r>
    <r>
      <rPr>
        <b/>
        <sz val="11"/>
        <color indexed="8"/>
        <rFont val="Times New Roman"/>
        <family val="1"/>
      </rPr>
      <t>маршруту;</t>
    </r>
  </si>
  <si>
    <t>GRAND BEACH 4* + YAM SUF 4* + GRAND BEACH 4*</t>
  </si>
  <si>
    <t xml:space="preserve">DBL  BB </t>
  </si>
  <si>
    <t> DBL  HB</t>
  </si>
  <si>
    <t xml:space="preserve">SNGL BB </t>
  </si>
  <si>
    <t>SNGL  HB</t>
  </si>
  <si>
    <t>TRPL   BB</t>
  </si>
  <si>
    <t>TRPL   HB</t>
  </si>
  <si>
    <t>DBL + CHD (2-12) BB</t>
  </si>
  <si>
    <t xml:space="preserve">DBL+CHD  (2-12) HB </t>
  </si>
  <si>
    <t>GRAND BEACH 4* + ASTRAL SEASIDE 3* + GRAND BEACH 4*</t>
  </si>
  <si>
    <t xml:space="preserve"> DBL BB</t>
  </si>
  <si>
    <t>DBL HB</t>
  </si>
  <si>
    <t>SNGL HB</t>
  </si>
  <si>
    <t>TRPL HB</t>
  </si>
  <si>
    <t xml:space="preserve">DBL+CHD  (2-12) HB </t>
  </si>
  <si>
    <t>DBL+CHD (2-18) BB</t>
  </si>
  <si>
    <t>DBL+CHD (2-18) HB</t>
  </si>
  <si>
    <t>GRAND BEACH 4* + DAN PANORAMA 4* + GRAND BEACH 4*                                                                                                                                                                                  доплата за номер Superior Lagoon View $50 за весь период</t>
  </si>
  <si>
    <t>DBL                BB+HB+BB</t>
  </si>
  <si>
    <t xml:space="preserve">DBL HB </t>
  </si>
  <si>
    <t xml:space="preserve"> SNGL         BB+HB+BB</t>
  </si>
  <si>
    <t>TRPL                BB+HB+BB</t>
  </si>
  <si>
    <t xml:space="preserve"> DBL+CHD (2-12)   BB+HB+BB</t>
  </si>
  <si>
    <t xml:space="preserve">DBL+CHD (2-18) HB </t>
  </si>
  <si>
    <t>DBL+CHD (2-18) BB+HB+BB</t>
  </si>
  <si>
    <t>GRAND BEACH 4* + SPORT CLUB 3* SUP + GRAND BEACH 4*</t>
  </si>
  <si>
    <t>DBL                 BB+AI+BB</t>
  </si>
  <si>
    <t>DBL                     HB+AI+HB</t>
  </si>
  <si>
    <t>SNGL                      HB+AI+HB</t>
  </si>
  <si>
    <t xml:space="preserve"> TRPL                       BB+AI+BB</t>
  </si>
  <si>
    <t>TRPL                         HB+AI+HB</t>
  </si>
  <si>
    <t>DBL+CHD  (2-12)  BB+AI+BB</t>
  </si>
  <si>
    <t>DBL+CHD  (2-12)   HB+AI+HB</t>
  </si>
  <si>
    <t>GRAND BEACH 4* + KING SOLOMON 4* + GRAND BEACH 4*</t>
  </si>
  <si>
    <t xml:space="preserve"> DBL HB</t>
  </si>
  <si>
    <t xml:space="preserve"> SNGL                 BB+HB+BB</t>
  </si>
  <si>
    <r>
      <t xml:space="preserve">DBL+CHD  (2-12) </t>
    </r>
    <r>
      <rPr>
        <b/>
        <sz val="8"/>
        <color indexed="18"/>
        <rFont val="Calibri"/>
        <family val="2"/>
      </rPr>
      <t>BB+HB+BB</t>
    </r>
  </si>
  <si>
    <t xml:space="preserve"> DBL+CHD  (2-12) HB </t>
  </si>
  <si>
    <t>GRAND BEACH 4* + LEONARDO PLAZA 4* + GRAND BEACH 4*</t>
  </si>
  <si>
    <t xml:space="preserve"> DBL BB+HB+BB</t>
  </si>
  <si>
    <t>SNGL BB+HB+BB</t>
  </si>
  <si>
    <t>TRPL                  BB+HB+BB</t>
  </si>
  <si>
    <t>DBL+CHD (2-12)   BB+HB+BB</t>
  </si>
  <si>
    <t xml:space="preserve"> DBL+CHD (2- 18) BB+HB+BB</t>
  </si>
  <si>
    <t>GRAND BEACH 4* + RIMONIM  4* + GRAND BEACH 4*</t>
  </si>
  <si>
    <t>DBL                  BB+HB+BB</t>
  </si>
  <si>
    <t>DBL  HB</t>
  </si>
  <si>
    <t>SNGL BB</t>
  </si>
  <si>
    <t xml:space="preserve"> SNGL                      BB+HB+BB</t>
  </si>
  <si>
    <t>TRPL                 BB+HB+BB</t>
  </si>
  <si>
    <t xml:space="preserve">DBL+CHD (2-14) BB </t>
  </si>
  <si>
    <t xml:space="preserve">DBL+CHD (2-18) BB </t>
  </si>
  <si>
    <r>
      <t xml:space="preserve">DBL+CHD  (2-14) </t>
    </r>
    <r>
      <rPr>
        <b/>
        <sz val="8"/>
        <color indexed="18"/>
        <rFont val="Arial"/>
        <family val="2"/>
      </rPr>
      <t>BB+HB+BB</t>
    </r>
  </si>
  <si>
    <t xml:space="preserve">DBL+CHD  (2-14) HB </t>
  </si>
  <si>
    <t>GRAND BEACH 4* +  LAGOONA 4* + GRAND BEACH 4*</t>
  </si>
  <si>
    <t>DBL            BB+AI+BB</t>
  </si>
  <si>
    <t xml:space="preserve"> DBL            HB+AI+HB</t>
  </si>
  <si>
    <t>SNGL     BB+AI+BB</t>
  </si>
  <si>
    <t>SNGL          HB+AI+HB</t>
  </si>
  <si>
    <t xml:space="preserve"> TRPL            BB+AI+BB</t>
  </si>
  <si>
    <t>TRPL               HB+AI +HB</t>
  </si>
  <si>
    <t>DBL+CHD  (2-12)   BB+AI+BB</t>
  </si>
  <si>
    <t>DBL+CHD (2-12)   HB+AI+HB</t>
  </si>
  <si>
    <t>GRAND BEACH 4* + DAN 5* + GRAND BEACH 4*</t>
  </si>
  <si>
    <r>
      <t xml:space="preserve">DBL                  </t>
    </r>
    <r>
      <rPr>
        <b/>
        <sz val="8.25"/>
        <color indexed="56"/>
        <rFont val="Calibri"/>
        <family val="2"/>
      </rPr>
      <t>BB+HB+BB</t>
    </r>
  </si>
  <si>
    <t>DBL+CHD  (2-12)   BB+HB+BB</t>
  </si>
  <si>
    <t>GRAND BEACH 4* + ROYAL BEACH 5* + GRAND BEACH 4*</t>
  </si>
  <si>
    <t>DBL BB</t>
  </si>
  <si>
    <r>
      <t xml:space="preserve">DBL                </t>
    </r>
    <r>
      <rPr>
        <b/>
        <sz val="8.25"/>
        <color indexed="56"/>
        <rFont val="Calibri"/>
        <family val="2"/>
      </rPr>
      <t>BB+HB+BB</t>
    </r>
  </si>
  <si>
    <t>SNGL  BB</t>
  </si>
  <si>
    <t>SNGL                  BB+HB+BB</t>
  </si>
  <si>
    <t xml:space="preserve"> TRPL  BB</t>
  </si>
  <si>
    <t>TRPL                   BB+HB+BB</t>
  </si>
  <si>
    <t xml:space="preserve">DBL+CHD  (2-12) BB  </t>
  </si>
  <si>
    <t>GRAND BEACH 4* + HERODS PALACE 5* + GRAND BEACH 4*</t>
  </si>
  <si>
    <t>DBL  BB</t>
  </si>
  <si>
    <r>
      <t xml:space="preserve">CROWNE PLAZA 4* SUP -  </t>
    </r>
    <r>
      <rPr>
        <b/>
        <sz val="12"/>
        <rFont val="Times New Roman"/>
        <family val="1"/>
      </rPr>
      <t>на набережной.</t>
    </r>
  </si>
  <si>
    <r>
      <t>CROWNE PLAZA 4*</t>
    </r>
    <r>
      <rPr>
        <b/>
        <sz val="12"/>
        <color indexed="8"/>
        <rFont val="Times New Roman"/>
        <family val="1"/>
      </rPr>
      <t xml:space="preserve"> около 10 минут ходьбы до моря.</t>
    </r>
  </si>
  <si>
    <r>
      <t>DAN PANORAMA 4*</t>
    </r>
    <r>
      <rPr>
        <b/>
        <sz val="12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до моря около 6 мин. ходьбы, доплата за номер Superior Lagoon View $50</t>
    </r>
    <r>
      <rPr>
        <b/>
        <sz val="10"/>
        <color indexed="8"/>
        <rFont val="Times New Roman"/>
        <family val="1"/>
      </rPr>
      <t xml:space="preserve"> за весь период</t>
    </r>
  </si>
  <si>
    <r>
      <t xml:space="preserve">ROYAL BEACH 5* </t>
    </r>
    <r>
      <rPr>
        <b/>
        <sz val="12"/>
        <rFont val="Times New Roman"/>
        <family val="1"/>
      </rPr>
      <t>на набережной, большинство номеров с балконами и все вид на море.</t>
    </r>
  </si>
  <si>
    <r>
      <t>НВ</t>
    </r>
    <r>
      <rPr>
        <b/>
        <sz val="10"/>
        <color indexed="8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завтраки и ужин</t>
    </r>
    <r>
      <rPr>
        <b/>
        <sz val="10"/>
        <color indexed="8"/>
        <rFont val="Times New Roman"/>
        <family val="1"/>
      </rPr>
      <t xml:space="preserve"> по всему маршруту;</t>
    </r>
  </si>
  <si>
    <t>CROWNE PLAZA 4* SUP. + CROWNE PLAZA 4* + CROWNE PLAZA 4* SUP.</t>
  </si>
  <si>
    <t>DBL                      BB+HB+BB</t>
  </si>
  <si>
    <t>SNGL                                BB+HB+BB</t>
  </si>
  <si>
    <t>TRPL                            BB+HB+BB</t>
  </si>
  <si>
    <t xml:space="preserve">DBL+CHD   (2-18)  BB+HB+BB </t>
  </si>
  <si>
    <t>CROWNE PLAZA 4* SUP. + DAN PANORAMA 4* + CROWNE PLAZA 4* SUP.</t>
  </si>
  <si>
    <t>SNGL                 BB+HB+BB</t>
  </si>
  <si>
    <t xml:space="preserve">DBL+CHD    (2-18)  BB+HB+BB </t>
  </si>
  <si>
    <t>CROWNE PLAZA 4* SUP. + KING SOLOMON 4* + CROWNE PLAZA 4* SUP.</t>
  </si>
  <si>
    <t>DBL+CHD   (2-12)   BB+HB+BB</t>
  </si>
  <si>
    <t xml:space="preserve"> DBL+CHD  (2-18)   BB + HB + BB</t>
  </si>
  <si>
    <t>CROWNE PLAZA 4* SUP. + LEONARDO PLAZA 4* + CROWNE PLAZA 4* SUP.</t>
  </si>
  <si>
    <t>DBL                       BB+HB+BB</t>
  </si>
  <si>
    <t>CROWNE PLAZA 4* SUP. +  LAGOONA 4* + CROWNE PLAZA 4* SUP.</t>
  </si>
  <si>
    <t>DBL                   BB+AI +BB</t>
  </si>
  <si>
    <t>SNGL   BB+AI+BB</t>
  </si>
  <si>
    <t>DBL+CHD   (2-12)   BB+AI+BB</t>
  </si>
  <si>
    <t>DBL+CHD  (2-18)   BB +  AI +  BB</t>
  </si>
  <si>
    <t>CROWNE PLAZA 4* SUP. + RIMONIM  4*SUP. + CROWNE PLAZA 4* SUP.</t>
  </si>
  <si>
    <t>TRPL  BB</t>
  </si>
  <si>
    <t xml:space="preserve">DBL+CHD    (2-18) BB </t>
  </si>
  <si>
    <t xml:space="preserve">DBL+CHD  (2-14) BB+HB+BB   </t>
  </si>
  <si>
    <t xml:space="preserve">DBL+CHD (2-18)  BB+HB+BB </t>
  </si>
  <si>
    <t>CROWNE PLAZA 4* SUP. + ROYAL BEACH 5* + CROWNE PLAZA 4* SUP.</t>
  </si>
  <si>
    <t xml:space="preserve">DBL+CHD  (2-12) BB+HB+BB   </t>
  </si>
  <si>
    <t>CROWNE PLAZA 4* SUP. + HERODS PALACE 5* + CROWNE PLAZA 4* SUP.</t>
  </si>
  <si>
    <t xml:space="preserve">DBL+CHD (2-18)   BB </t>
  </si>
  <si>
    <t>CROWNE PLAZA 4* SUP. + DAN 5* + CROWNE PLAZA 4* SUP.</t>
  </si>
  <si>
    <r>
      <t xml:space="preserve">CARLTON 5* -  </t>
    </r>
    <r>
      <rPr>
        <b/>
        <sz val="12"/>
        <rFont val="Times New Roman"/>
        <family val="1"/>
      </rPr>
      <t>на набережной, доплата за номер Sea View (боковой вид)  $105 за весь период.</t>
    </r>
  </si>
  <si>
    <r>
      <t>НВ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- завтраки и ужин по всему маршруту;</t>
    </r>
  </si>
  <si>
    <r>
      <t xml:space="preserve">ВВ + НВ + ВВ - </t>
    </r>
    <r>
      <rPr>
        <b/>
        <sz val="12"/>
        <color indexed="8"/>
        <rFont val="Times New Roman"/>
        <family val="1"/>
      </rPr>
      <t xml:space="preserve"> завтрак в Тель Авиве + завтрак и ужин в Эйлате + завтрак в Тель Авиве</t>
    </r>
  </si>
  <si>
    <t>CARLTON 5* + RIMONIM  4* SUP. + CARLTON 5*</t>
  </si>
  <si>
    <t>DBL                BB +HB+BB</t>
  </si>
  <si>
    <t>SNGL    BB</t>
  </si>
  <si>
    <t xml:space="preserve">DBL+CHD (2-18)  BB + HB + BB </t>
  </si>
  <si>
    <t>28.11.11-12.12.11</t>
  </si>
  <si>
    <t>CARLTON 5* + ROYAL BEACH 5* + CARLTON 5*</t>
  </si>
  <si>
    <t>DBL    BB</t>
  </si>
  <si>
    <t xml:space="preserve"> DBL+CHD  (2-18) BB </t>
  </si>
  <si>
    <t>CARLTON 5* + HERODS PALACE 5* + CARLTON 5*</t>
  </si>
  <si>
    <t>CARLTON 5* + DAN 5* + CARLTON 5*</t>
  </si>
  <si>
    <t xml:space="preserve"> DBL+CHD  (2-18)   BB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</si>
</sst>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79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u val="single"/>
      <sz val="16"/>
      <color indexed="30"/>
      <name val="Arial"/>
      <family val="2"/>
    </font>
    <font>
      <b/>
      <sz val="11"/>
      <color indexed="10"/>
      <name val="Cambria"/>
      <family val="1"/>
    </font>
    <font>
      <b/>
      <u val="single"/>
      <sz val="12"/>
      <color indexed="10"/>
      <name val="Times New Roman"/>
      <family val="1"/>
    </font>
    <font>
      <b/>
      <sz val="14"/>
      <color indexed="30"/>
      <name val="Calibri"/>
      <family val="2"/>
    </font>
    <font>
      <sz val="12"/>
      <color indexed="21"/>
      <name val="Times New Roman"/>
      <family val="1"/>
    </font>
    <font>
      <u val="single"/>
      <sz val="14"/>
      <color indexed="18"/>
      <name val="Times New Roman"/>
      <family val="1"/>
    </font>
    <font>
      <b/>
      <u val="single"/>
      <sz val="11"/>
      <color indexed="10"/>
      <name val="Cambria"/>
      <family val="1"/>
    </font>
    <font>
      <b/>
      <sz val="11"/>
      <color indexed="17"/>
      <name val="Cambria"/>
      <family val="1"/>
    </font>
    <font>
      <b/>
      <sz val="10"/>
      <color indexed="10"/>
      <name val="Cambria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Bookman Old Style"/>
      <family val="1"/>
    </font>
    <font>
      <sz val="16"/>
      <color indexed="8"/>
      <name val="Bookman Old Style"/>
      <family val="1"/>
    </font>
    <font>
      <b/>
      <u val="single"/>
      <sz val="12"/>
      <color indexed="62"/>
      <name val="Times New Roman"/>
      <family val="1"/>
    </font>
    <font>
      <u val="single"/>
      <sz val="12"/>
      <color indexed="62"/>
      <name val="Times New Roman"/>
      <family val="1"/>
    </font>
    <font>
      <sz val="20"/>
      <color indexed="62"/>
      <name val="Wingdings"/>
      <family val="0"/>
    </font>
    <font>
      <sz val="12"/>
      <name val="Cambria"/>
      <family val="1"/>
    </font>
    <font>
      <sz val="12"/>
      <color indexed="10"/>
      <name val="Cambria"/>
      <family val="1"/>
    </font>
    <font>
      <sz val="12"/>
      <name val="Arial"/>
      <family val="2"/>
    </font>
    <font>
      <b/>
      <u val="single"/>
      <sz val="10"/>
      <color indexed="56"/>
      <name val="Cambria"/>
      <family val="1"/>
    </font>
    <font>
      <sz val="7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color indexed="10"/>
      <name val="Cambria"/>
      <family val="1"/>
    </font>
    <font>
      <b/>
      <sz val="10"/>
      <color indexed="17"/>
      <name val="Cambria"/>
      <family val="1"/>
    </font>
    <font>
      <b/>
      <sz val="9"/>
      <color indexed="10"/>
      <name val="Cambria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8"/>
      <name val="Cambria"/>
      <family val="1"/>
    </font>
    <font>
      <b/>
      <sz val="9.75"/>
      <color indexed="18"/>
      <name val="Arial"/>
      <family val="2"/>
    </font>
    <font>
      <b/>
      <sz val="11"/>
      <color indexed="10"/>
      <name val="Arial"/>
      <family val="2"/>
    </font>
    <font>
      <b/>
      <sz val="9"/>
      <color indexed="56"/>
      <name val="Calibri"/>
      <family val="2"/>
    </font>
    <font>
      <b/>
      <sz val="10"/>
      <color indexed="10"/>
      <name val="Arial"/>
      <family val="2"/>
    </font>
    <font>
      <b/>
      <sz val="12"/>
      <color indexed="56"/>
      <name val="Calibri"/>
      <family val="2"/>
    </font>
    <font>
      <b/>
      <sz val="11"/>
      <color indexed="18"/>
      <name val="Arial"/>
      <family val="2"/>
    </font>
    <font>
      <b/>
      <sz val="8.75"/>
      <color indexed="10"/>
      <name val="Arial"/>
      <family val="2"/>
    </font>
    <font>
      <b/>
      <sz val="8.75"/>
      <color indexed="18"/>
      <name val="Arial"/>
      <family val="2"/>
    </font>
    <font>
      <sz val="8.25"/>
      <color indexed="18"/>
      <name val="Arial"/>
      <family val="2"/>
    </font>
    <font>
      <b/>
      <sz val="9"/>
      <color indexed="30"/>
      <name val="Arial"/>
      <family val="2"/>
    </font>
    <font>
      <b/>
      <sz val="8.25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3.5"/>
      <color indexed="10"/>
      <name val="Wingdings 2"/>
      <family val="1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56"/>
      <name val="Cambria"/>
      <family val="1"/>
    </font>
    <font>
      <b/>
      <sz val="8"/>
      <color indexed="56"/>
      <name val="Arial"/>
      <family val="2"/>
    </font>
    <font>
      <b/>
      <sz val="8"/>
      <color indexed="56"/>
      <name val="Calibri"/>
      <family val="2"/>
    </font>
    <font>
      <b/>
      <sz val="8"/>
      <color indexed="10"/>
      <name val="Arial"/>
      <family val="2"/>
    </font>
    <font>
      <b/>
      <sz val="11"/>
      <color indexed="56"/>
      <name val="Calibri"/>
      <family val="2"/>
    </font>
    <font>
      <b/>
      <sz val="10"/>
      <color indexed="30"/>
      <name val="Arial"/>
      <family val="2"/>
    </font>
    <font>
      <b/>
      <u val="single"/>
      <sz val="9.75"/>
      <color indexed="18"/>
      <name val="Arial"/>
      <family val="2"/>
    </font>
    <font>
      <b/>
      <sz val="8.75"/>
      <color indexed="30"/>
      <name val="Arial"/>
      <family val="2"/>
    </font>
    <font>
      <b/>
      <sz val="14"/>
      <color indexed="18"/>
      <name val="Cambria"/>
      <family val="1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.25"/>
      <color indexed="18"/>
      <name val="Arial"/>
      <family val="2"/>
    </font>
    <font>
      <b/>
      <sz val="12"/>
      <color indexed="18"/>
      <name val="Calibri"/>
      <family val="2"/>
    </font>
    <font>
      <b/>
      <sz val="16"/>
      <color indexed="18"/>
      <name val="Arial"/>
      <family val="2"/>
    </font>
    <font>
      <b/>
      <sz val="9"/>
      <color indexed="10"/>
      <name val="Arial"/>
      <family val="2"/>
    </font>
    <font>
      <b/>
      <sz val="11"/>
      <color indexed="56"/>
      <name val="Arial"/>
      <family val="2"/>
    </font>
    <font>
      <b/>
      <sz val="11.25"/>
      <color indexed="18"/>
      <name val="Arial"/>
      <family val="2"/>
    </font>
    <font>
      <b/>
      <sz val="8"/>
      <color indexed="18"/>
      <name val="Calibri"/>
      <family val="2"/>
    </font>
    <font>
      <b/>
      <sz val="8"/>
      <color indexed="18"/>
      <name val="Arial"/>
      <family val="2"/>
    </font>
    <font>
      <b/>
      <sz val="8.25"/>
      <color indexed="56"/>
      <name val="Calibri"/>
      <family val="2"/>
    </font>
    <font>
      <sz val="8.25"/>
      <color indexed="10"/>
      <name val="Arial"/>
      <family val="2"/>
    </font>
    <font>
      <b/>
      <sz val="9.75"/>
      <color indexed="56"/>
      <name val="Arial"/>
      <family val="2"/>
    </font>
    <font>
      <b/>
      <sz val="8.25"/>
      <color indexed="18"/>
      <name val="Calibri"/>
      <family val="2"/>
    </font>
    <font>
      <b/>
      <sz val="11"/>
      <color indexed="1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9" fillId="0" borderId="0" applyNumberFormat="0" applyFill="0" applyBorder="0" applyProtection="0">
      <alignment vertical="top"/>
    </xf>
    <xf numFmtId="164" fontId="0" fillId="0" borderId="0" applyNumberFormat="0" applyFill="0" applyBorder="0" applyProtection="0">
      <alignment vertical="top"/>
    </xf>
  </cellStyleXfs>
  <cellXfs count="215">
    <xf numFmtId="164" fontId="0" fillId="0" borderId="0" xfId="0" applyAlignment="1">
      <alignment vertical="top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164" fontId="3" fillId="2" borderId="0" xfId="0" applyFont="1" applyFill="1" applyBorder="1" applyAlignment="1" applyProtection="1">
      <alignment horizontal="center" vertical="center" wrapText="1" shrinkToFit="1"/>
      <protection locked="0"/>
    </xf>
    <xf numFmtId="164" fontId="2" fillId="2" borderId="0" xfId="0" applyNumberFormat="1" applyFont="1" applyFill="1" applyBorder="1" applyAlignment="1" applyProtection="1">
      <alignment/>
      <protection locked="0"/>
    </xf>
    <xf numFmtId="164" fontId="4" fillId="2" borderId="0" xfId="21" applyNumberFormat="1" applyFont="1" applyFill="1" applyBorder="1" applyAlignment="1" applyProtection="1">
      <alignment horizontal="center" vertical="center"/>
      <protection locked="0"/>
    </xf>
    <xf numFmtId="164" fontId="5" fillId="2" borderId="1" xfId="21" applyNumberFormat="1" applyFont="1" applyFill="1" applyBorder="1" applyAlignment="1" applyProtection="1">
      <alignment horizontal="left" vertical="center"/>
      <protection locked="0"/>
    </xf>
    <xf numFmtId="164" fontId="6" fillId="2" borderId="2" xfId="21" applyNumberFormat="1" applyFont="1" applyFill="1" applyBorder="1" applyAlignment="1" applyProtection="1">
      <alignment horizontal="center" vertical="center"/>
      <protection locked="0"/>
    </xf>
    <xf numFmtId="164" fontId="6" fillId="2" borderId="3" xfId="21" applyNumberFormat="1" applyFont="1" applyFill="1" applyBorder="1" applyAlignment="1" applyProtection="1">
      <alignment horizontal="center" vertical="center"/>
      <protection locked="0"/>
    </xf>
    <xf numFmtId="164" fontId="6" fillId="2" borderId="4" xfId="21" applyNumberFormat="1" applyFont="1" applyFill="1" applyBorder="1" applyAlignment="1" applyProtection="1">
      <alignment horizontal="center" vertical="center"/>
      <protection locked="0"/>
    </xf>
    <xf numFmtId="164" fontId="9" fillId="2" borderId="5" xfId="21" applyNumberFormat="1" applyFont="1" applyFill="1" applyBorder="1" applyAlignment="1" applyProtection="1">
      <alignment horizontal="left" vertical="center" wrapText="1"/>
      <protection locked="0"/>
    </xf>
    <xf numFmtId="164" fontId="0" fillId="2" borderId="0" xfId="0" applyFill="1" applyAlignment="1">
      <alignment/>
    </xf>
    <xf numFmtId="164" fontId="11" fillId="2" borderId="0" xfId="21" applyNumberFormat="1" applyFont="1" applyFill="1" applyBorder="1" applyAlignment="1" applyProtection="1">
      <alignment horizontal="left" vertical="center" wrapText="1"/>
      <protection locked="0"/>
    </xf>
    <xf numFmtId="164" fontId="12" fillId="0" borderId="6" xfId="21" applyNumberFormat="1" applyFont="1" applyFill="1" applyBorder="1" applyAlignment="1" applyProtection="1">
      <alignment horizontal="center" vertical="center"/>
      <protection locked="0"/>
    </xf>
    <xf numFmtId="164" fontId="13" fillId="2" borderId="7" xfId="21" applyNumberFormat="1" applyFont="1" applyFill="1" applyBorder="1" applyAlignment="1" applyProtection="1">
      <alignment horizontal="left" vertical="center"/>
      <protection locked="0"/>
    </xf>
    <xf numFmtId="164" fontId="14" fillId="2" borderId="8" xfId="21" applyNumberFormat="1" applyFont="1" applyFill="1" applyBorder="1" applyAlignment="1" applyProtection="1">
      <alignment horizontal="left" vertical="center"/>
      <protection locked="0"/>
    </xf>
    <xf numFmtId="164" fontId="12" fillId="0" borderId="7" xfId="21" applyNumberFormat="1" applyFont="1" applyFill="1" applyBorder="1" applyAlignment="1" applyProtection="1">
      <alignment horizontal="center" vertical="center"/>
      <protection locked="0"/>
    </xf>
    <xf numFmtId="164" fontId="15" fillId="2" borderId="7" xfId="21" applyNumberFormat="1" applyFont="1" applyFill="1" applyBorder="1" applyAlignment="1" applyProtection="1">
      <alignment horizontal="left" vertical="center"/>
      <protection locked="0"/>
    </xf>
    <xf numFmtId="164" fontId="14" fillId="2" borderId="9" xfId="21" applyNumberFormat="1" applyFont="1" applyFill="1" applyBorder="1" applyAlignment="1" applyProtection="1">
      <alignment horizontal="left" vertical="center"/>
      <protection locked="0"/>
    </xf>
    <xf numFmtId="164" fontId="14" fillId="0" borderId="6" xfId="21" applyNumberFormat="1" applyFont="1" applyFill="1" applyBorder="1" applyAlignment="1" applyProtection="1">
      <alignment horizontal="left" vertical="center" wrapText="1"/>
      <protection locked="0"/>
    </xf>
    <xf numFmtId="164" fontId="12" fillId="0" borderId="6" xfId="0" applyNumberFormat="1" applyFont="1" applyFill="1" applyBorder="1" applyAlignment="1" applyProtection="1">
      <alignment horizontal="center" vertical="center"/>
      <protection locked="0"/>
    </xf>
    <xf numFmtId="164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center" wrapText="1"/>
      <protection locked="0"/>
    </xf>
    <xf numFmtId="164" fontId="16" fillId="0" borderId="6" xfId="0" applyNumberFormat="1" applyFont="1" applyFill="1" applyBorder="1" applyAlignment="1" applyProtection="1">
      <alignment horizontal="left" vertical="center"/>
      <protection locked="0"/>
    </xf>
    <xf numFmtId="164" fontId="17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21" applyNumberFormat="1" applyFont="1" applyFill="1" applyBorder="1" applyAlignment="1" applyProtection="1">
      <alignment horizontal="left"/>
      <protection locked="0"/>
    </xf>
    <xf numFmtId="164" fontId="14" fillId="2" borderId="0" xfId="0" applyNumberFormat="1" applyFont="1" applyFill="1" applyBorder="1" applyAlignment="1" applyProtection="1">
      <alignment horizontal="left"/>
      <protection locked="0"/>
    </xf>
    <xf numFmtId="164" fontId="12" fillId="2" borderId="0" xfId="0" applyNumberFormat="1" applyFont="1" applyFill="1" applyBorder="1" applyAlignment="1" applyProtection="1">
      <alignment/>
      <protection locked="0"/>
    </xf>
    <xf numFmtId="164" fontId="19" fillId="2" borderId="0" xfId="0" applyNumberFormat="1" applyFont="1" applyFill="1" applyBorder="1" applyAlignment="1" applyProtection="1">
      <alignment horizontal="left"/>
      <protection locked="0"/>
    </xf>
    <xf numFmtId="164" fontId="20" fillId="2" borderId="0" xfId="0" applyNumberFormat="1" applyFont="1" applyFill="1" applyBorder="1" applyAlignment="1" applyProtection="1">
      <alignment horizontal="left" vertical="top"/>
      <protection locked="0"/>
    </xf>
    <xf numFmtId="164" fontId="22" fillId="2" borderId="0" xfId="21" applyNumberFormat="1" applyFont="1" applyFill="1" applyBorder="1" applyAlignment="1" applyProtection="1">
      <alignment horizontal="left" vertical="top"/>
      <protection locked="0"/>
    </xf>
    <xf numFmtId="164" fontId="20" fillId="2" borderId="0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23" fillId="2" borderId="0" xfId="0" applyNumberFormat="1" applyFont="1" applyFill="1" applyBorder="1" applyAlignment="1" applyProtection="1">
      <alignment horizontal="left"/>
      <protection locked="0"/>
    </xf>
    <xf numFmtId="164" fontId="24" fillId="2" borderId="0" xfId="0" applyNumberFormat="1" applyFont="1" applyFill="1" applyBorder="1" applyAlignment="1" applyProtection="1">
      <alignment horizontal="left" vertical="center"/>
      <protection locked="0"/>
    </xf>
    <xf numFmtId="164" fontId="2" fillId="2" borderId="9" xfId="21" applyNumberFormat="1" applyFont="1" applyFill="1" applyBorder="1" applyAlignment="1" applyProtection="1">
      <alignment horizontal="left" vertical="center"/>
      <protection locked="0"/>
    </xf>
    <xf numFmtId="164" fontId="2" fillId="2" borderId="10" xfId="21" applyNumberFormat="1" applyFont="1" applyFill="1" applyBorder="1" applyAlignment="1" applyProtection="1">
      <alignment horizontal="left" vertical="center"/>
      <protection locked="0"/>
    </xf>
    <xf numFmtId="164" fontId="2" fillId="2" borderId="0" xfId="21" applyNumberFormat="1" applyFont="1" applyFill="1" applyBorder="1" applyAlignment="1" applyProtection="1">
      <alignment horizontal="left" vertical="center"/>
      <protection locked="0"/>
    </xf>
    <xf numFmtId="164" fontId="25" fillId="2" borderId="0" xfId="0" applyNumberFormat="1" applyFont="1" applyFill="1" applyBorder="1" applyAlignment="1" applyProtection="1">
      <alignment/>
      <protection locked="0"/>
    </xf>
    <xf numFmtId="164" fontId="2" fillId="2" borderId="9" xfId="21" applyNumberFormat="1" applyFont="1" applyFill="1" applyBorder="1" applyAlignment="1" applyProtection="1">
      <alignment vertical="center"/>
      <protection locked="0"/>
    </xf>
    <xf numFmtId="164" fontId="2" fillId="2" borderId="10" xfId="21" applyNumberFormat="1" applyFont="1" applyFill="1" applyBorder="1" applyAlignment="1" applyProtection="1">
      <alignment vertical="center"/>
      <protection locked="0"/>
    </xf>
    <xf numFmtId="164" fontId="25" fillId="2" borderId="0" xfId="0" applyNumberFormat="1" applyFont="1" applyFill="1" applyBorder="1" applyAlignment="1" applyProtection="1">
      <alignment horizontal="left"/>
      <protection locked="0"/>
    </xf>
    <xf numFmtId="164" fontId="25" fillId="2" borderId="0" xfId="0" applyNumberFormat="1" applyFont="1" applyFill="1" applyBorder="1" applyAlignment="1" applyProtection="1">
      <alignment horizontal="left" vertical="center"/>
      <protection locked="0"/>
    </xf>
    <xf numFmtId="164" fontId="26" fillId="2" borderId="0" xfId="0" applyNumberFormat="1" applyFont="1" applyFill="1" applyBorder="1" applyAlignment="1" applyProtection="1">
      <alignment horizontal="left"/>
      <protection locked="0"/>
    </xf>
    <xf numFmtId="164" fontId="1" fillId="2" borderId="0" xfId="21" applyNumberFormat="1" applyFont="1" applyFill="1" applyBorder="1" applyAlignment="1" applyProtection="1">
      <alignment horizontal="left" vertical="center"/>
      <protection locked="0"/>
    </xf>
    <xf numFmtId="164" fontId="25" fillId="2" borderId="0" xfId="0" applyNumberFormat="1" applyFont="1" applyFill="1" applyBorder="1" applyAlignment="1" applyProtection="1">
      <alignment vertical="top"/>
      <protection locked="0"/>
    </xf>
    <xf numFmtId="164" fontId="2" fillId="2" borderId="0" xfId="21" applyNumberFormat="1" applyFont="1" applyFill="1" applyBorder="1" applyAlignment="1" applyProtection="1">
      <alignment/>
      <protection locked="0"/>
    </xf>
    <xf numFmtId="164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0" xfId="21" applyNumberFormat="1" applyFont="1" applyFill="1" applyBorder="1" applyAlignment="1" applyProtection="1">
      <alignment vertical="center"/>
      <protection locked="0"/>
    </xf>
    <xf numFmtId="164" fontId="5" fillId="2" borderId="0" xfId="21" applyNumberFormat="1" applyFont="1" applyFill="1" applyBorder="1" applyAlignment="1" applyProtection="1">
      <alignment horizontal="left"/>
      <protection locked="0"/>
    </xf>
    <xf numFmtId="164" fontId="5" fillId="2" borderId="0" xfId="21" applyNumberFormat="1" applyFont="1" applyFill="1" applyBorder="1" applyAlignment="1" applyProtection="1">
      <alignment horizontal="left" vertical="center"/>
      <protection locked="0"/>
    </xf>
    <xf numFmtId="164" fontId="5" fillId="2" borderId="0" xfId="21" applyNumberFormat="1" applyFont="1" applyFill="1" applyBorder="1" applyAlignment="1" applyProtection="1">
      <alignment/>
      <protection locked="0"/>
    </xf>
    <xf numFmtId="164" fontId="28" fillId="2" borderId="0" xfId="21" applyNumberFormat="1" applyFont="1" applyFill="1" applyBorder="1" applyAlignment="1" applyProtection="1">
      <alignment horizontal="left" vertical="center" wrapText="1"/>
      <protection locked="0"/>
    </xf>
    <xf numFmtId="164" fontId="28" fillId="2" borderId="0" xfId="21" applyNumberFormat="1" applyFont="1" applyFill="1" applyBorder="1" applyAlignment="1" applyProtection="1">
      <alignment vertical="center" wrapText="1"/>
      <protection locked="0"/>
    </xf>
    <xf numFmtId="164" fontId="30" fillId="2" borderId="0" xfId="21" applyNumberFormat="1" applyFont="1" applyFill="1" applyBorder="1" applyAlignment="1" applyProtection="1">
      <alignment horizontal="left" vertical="center" wrapText="1"/>
      <protection locked="0"/>
    </xf>
    <xf numFmtId="164" fontId="30" fillId="2" borderId="0" xfId="21" applyNumberFormat="1" applyFont="1" applyFill="1" applyBorder="1" applyAlignment="1" applyProtection="1">
      <alignment vertical="center" wrapText="1"/>
      <protection locked="0"/>
    </xf>
    <xf numFmtId="164" fontId="31" fillId="2" borderId="0" xfId="0" applyNumberFormat="1" applyFont="1" applyFill="1" applyBorder="1" applyAlignment="1" applyProtection="1">
      <alignment horizontal="left" vertical="center"/>
      <protection locked="0"/>
    </xf>
    <xf numFmtId="164" fontId="31" fillId="2" borderId="0" xfId="0" applyNumberFormat="1" applyFont="1" applyFill="1" applyBorder="1" applyAlignment="1" applyProtection="1">
      <alignment/>
      <protection locked="0"/>
    </xf>
    <xf numFmtId="164" fontId="32" fillId="2" borderId="0" xfId="0" applyNumberFormat="1" applyFont="1" applyFill="1" applyBorder="1" applyAlignment="1" applyProtection="1">
      <alignment horizontal="left" vertical="center"/>
      <protection locked="0"/>
    </xf>
    <xf numFmtId="164" fontId="31" fillId="2" borderId="0" xfId="0" applyNumberFormat="1" applyFont="1" applyFill="1" applyBorder="1" applyAlignment="1" applyProtection="1">
      <alignment horizontal="right" vertical="center"/>
      <protection locked="0"/>
    </xf>
    <xf numFmtId="164" fontId="31" fillId="2" borderId="0" xfId="0" applyNumberFormat="1" applyFont="1" applyFill="1" applyBorder="1" applyAlignment="1" applyProtection="1">
      <alignment horizontal="left"/>
      <protection locked="0"/>
    </xf>
    <xf numFmtId="164" fontId="33" fillId="2" borderId="0" xfId="0" applyFont="1" applyFill="1" applyBorder="1" applyAlignment="1" applyProtection="1">
      <alignment horizontal="left" vertical="center" wrapText="1" shrinkToFit="1"/>
      <protection locked="0"/>
    </xf>
    <xf numFmtId="164" fontId="34" fillId="2" borderId="0" xfId="0" applyFont="1" applyFill="1" applyAlignment="1" applyProtection="1">
      <alignment vertical="center" wrapText="1" shrinkToFit="1"/>
      <protection locked="0"/>
    </xf>
    <xf numFmtId="164" fontId="35" fillId="2" borderId="6" xfId="0" applyFont="1" applyFill="1" applyBorder="1" applyAlignment="1" applyProtection="1">
      <alignment horizontal="center" vertical="center" wrapText="1" shrinkToFit="1"/>
      <protection locked="0"/>
    </xf>
    <xf numFmtId="164" fontId="36" fillId="2" borderId="6" xfId="0" applyFont="1" applyFill="1" applyBorder="1" applyAlignment="1" applyProtection="1">
      <alignment horizontal="center" vertical="center" wrapText="1" shrinkToFit="1"/>
      <protection locked="0"/>
    </xf>
    <xf numFmtId="164" fontId="2" fillId="2" borderId="10" xfId="0" applyNumberFormat="1" applyFont="1" applyFill="1" applyBorder="1" applyAlignment="1" applyProtection="1">
      <alignment vertical="top"/>
      <protection locked="0"/>
    </xf>
    <xf numFmtId="164" fontId="2" fillId="2" borderId="0" xfId="0" applyNumberFormat="1" applyFont="1" applyFill="1" applyBorder="1" applyAlignment="1" applyProtection="1">
      <alignment vertical="top"/>
      <protection locked="0"/>
    </xf>
    <xf numFmtId="165" fontId="37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38" fillId="2" borderId="6" xfId="0" applyFont="1" applyFill="1" applyBorder="1" applyAlignment="1" applyProtection="1">
      <alignment horizontal="center" vertical="center" wrapText="1" shrinkToFit="1"/>
      <protection locked="0"/>
    </xf>
    <xf numFmtId="164" fontId="39" fillId="2" borderId="6" xfId="0" applyFont="1" applyFill="1" applyBorder="1" applyAlignment="1" applyProtection="1">
      <alignment horizontal="center" vertical="center" wrapText="1" shrinkToFit="1"/>
      <protection locked="0"/>
    </xf>
    <xf numFmtId="164" fontId="40" fillId="2" borderId="10" xfId="0" applyFont="1" applyFill="1" applyBorder="1" applyAlignment="1" applyProtection="1">
      <alignment horizontal="center" vertical="center" wrapText="1" shrinkToFit="1"/>
      <protection locked="0"/>
    </xf>
    <xf numFmtId="164" fontId="41" fillId="2" borderId="0" xfId="0" applyFont="1" applyFill="1" applyBorder="1" applyAlignment="1" applyProtection="1">
      <alignment horizontal="center" vertical="center" wrapText="1" shrinkToFit="1"/>
      <protection locked="0"/>
    </xf>
    <xf numFmtId="164" fontId="42" fillId="2" borderId="0" xfId="0" applyFont="1" applyFill="1" applyBorder="1" applyAlignment="1" applyProtection="1">
      <alignment horizontal="center" vertical="center" wrapText="1" shrinkToFit="1"/>
      <protection locked="0"/>
    </xf>
    <xf numFmtId="164" fontId="37" fillId="2" borderId="6" xfId="0" applyFont="1" applyFill="1" applyBorder="1" applyAlignment="1" applyProtection="1">
      <alignment horizontal="center" vertical="center" wrapText="1" shrinkToFit="1"/>
      <protection locked="0"/>
    </xf>
    <xf numFmtId="164" fontId="43" fillId="2" borderId="5" xfId="0" applyFont="1" applyFill="1" applyBorder="1" applyAlignment="1" applyProtection="1">
      <alignment horizontal="left" vertical="center" wrapText="1" shrinkToFit="1"/>
      <protection locked="0"/>
    </xf>
    <xf numFmtId="164" fontId="34" fillId="2" borderId="0" xfId="0" applyFont="1" applyFill="1" applyBorder="1" applyAlignment="1" applyProtection="1">
      <alignment vertical="center" wrapText="1" shrinkToFit="1"/>
      <protection locked="0"/>
    </xf>
    <xf numFmtId="164" fontId="33" fillId="2" borderId="0" xfId="0" applyFont="1" applyFill="1" applyBorder="1" applyAlignment="1" applyProtection="1">
      <alignment vertical="center" wrapText="1" shrinkToFit="1"/>
      <protection locked="0"/>
    </xf>
    <xf numFmtId="164" fontId="36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2" borderId="0" xfId="0" applyFont="1" applyFill="1" applyBorder="1" applyAlignment="1" applyProtection="1">
      <alignment horizontal="center" vertical="center" wrapText="1" shrinkToFit="1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5" fontId="3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8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45" fillId="2" borderId="0" xfId="0" applyFont="1" applyFill="1" applyBorder="1" applyAlignment="1" applyProtection="1">
      <alignment horizontal="center" vertical="center" wrapText="1" shrinkToFit="1"/>
      <protection locked="0"/>
    </xf>
    <xf numFmtId="164" fontId="3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43" fillId="2" borderId="0" xfId="0" applyNumberFormat="1" applyFont="1" applyFill="1" applyBorder="1" applyAlignment="1" applyProtection="1">
      <alignment/>
      <protection locked="0"/>
    </xf>
    <xf numFmtId="164" fontId="46" fillId="2" borderId="0" xfId="0" applyNumberFormat="1" applyFont="1" applyFill="1" applyBorder="1" applyAlignment="1" applyProtection="1">
      <alignment horizontal="left" vertical="center"/>
      <protection locked="0"/>
    </xf>
    <xf numFmtId="164" fontId="46" fillId="2" borderId="0" xfId="0" applyNumberFormat="1" applyFont="1" applyFill="1" applyBorder="1" applyAlignment="1" applyProtection="1">
      <alignment vertical="center"/>
      <protection locked="0"/>
    </xf>
    <xf numFmtId="164" fontId="47" fillId="2" borderId="0" xfId="0" applyFont="1" applyFill="1" applyBorder="1" applyAlignment="1">
      <alignment horizontal="left" vertical="center" wrapText="1"/>
    </xf>
    <xf numFmtId="164" fontId="48" fillId="2" borderId="0" xfId="0" applyFont="1" applyFill="1" applyBorder="1" applyAlignment="1">
      <alignment horizontal="left" vertical="center"/>
    </xf>
    <xf numFmtId="164" fontId="48" fillId="2" borderId="0" xfId="0" applyFont="1" applyFill="1" applyBorder="1" applyAlignment="1">
      <alignment vertical="center"/>
    </xf>
    <xf numFmtId="166" fontId="32" fillId="2" borderId="0" xfId="0" applyNumberFormat="1" applyFont="1" applyFill="1" applyBorder="1" applyAlignment="1">
      <alignment horizontal="left" vertical="center"/>
    </xf>
    <xf numFmtId="164" fontId="50" fillId="2" borderId="0" xfId="20" applyNumberFormat="1" applyFont="1" applyFill="1" applyBorder="1" applyAlignment="1" applyProtection="1">
      <alignment horizontal="left" vertical="center"/>
      <protection/>
    </xf>
    <xf numFmtId="164" fontId="50" fillId="2" borderId="0" xfId="20" applyNumberFormat="1" applyFont="1" applyFill="1" applyBorder="1" applyAlignment="1" applyProtection="1">
      <alignment horizontal="left" vertical="center"/>
      <protection locked="0"/>
    </xf>
    <xf numFmtId="164" fontId="50" fillId="2" borderId="0" xfId="20" applyNumberFormat="1" applyFont="1" applyFill="1" applyBorder="1" applyAlignment="1" applyProtection="1">
      <alignment vertical="center"/>
      <protection locked="0"/>
    </xf>
    <xf numFmtId="164" fontId="3" fillId="2" borderId="0" xfId="0" applyFont="1" applyFill="1" applyAlignment="1" applyProtection="1">
      <alignment vertical="center" wrapText="1" shrinkToFit="1"/>
      <protection locked="0"/>
    </xf>
    <xf numFmtId="164" fontId="32" fillId="2" borderId="0" xfId="0" applyNumberFormat="1" applyFont="1" applyFill="1" applyBorder="1" applyAlignment="1" applyProtection="1">
      <alignment horizontal="left"/>
      <protection locked="0"/>
    </xf>
    <xf numFmtId="164" fontId="53" fillId="2" borderId="0" xfId="0" applyNumberFormat="1" applyFont="1" applyFill="1" applyBorder="1" applyAlignment="1" applyProtection="1">
      <alignment vertical="center"/>
      <protection locked="0"/>
    </xf>
    <xf numFmtId="164" fontId="54" fillId="2" borderId="11" xfId="0" applyNumberFormat="1" applyFont="1" applyFill="1" applyBorder="1" applyAlignment="1" applyProtection="1">
      <alignment horizontal="left" vertical="center"/>
      <protection locked="0"/>
    </xf>
    <xf numFmtId="164" fontId="45" fillId="2" borderId="0" xfId="0" applyNumberFormat="1" applyFont="1" applyFill="1" applyBorder="1" applyAlignment="1" applyProtection="1">
      <alignment/>
      <protection locked="0"/>
    </xf>
    <xf numFmtId="164" fontId="55" fillId="2" borderId="6" xfId="0" applyFont="1" applyFill="1" applyBorder="1" applyAlignment="1" applyProtection="1">
      <alignment horizontal="center" vertical="center" wrapText="1" shrinkToFit="1"/>
      <protection locked="0"/>
    </xf>
    <xf numFmtId="164" fontId="56" fillId="2" borderId="6" xfId="0" applyFont="1" applyFill="1" applyBorder="1" applyAlignment="1" applyProtection="1">
      <alignment horizontal="center" vertical="center" wrapText="1" shrinkToFit="1"/>
      <protection locked="0"/>
    </xf>
    <xf numFmtId="164" fontId="57" fillId="2" borderId="6" xfId="0" applyFont="1" applyFill="1" applyBorder="1" applyAlignment="1" applyProtection="1">
      <alignment horizontal="center" vertical="center" wrapText="1" shrinkToFit="1"/>
      <protection locked="0"/>
    </xf>
    <xf numFmtId="164" fontId="58" fillId="2" borderId="6" xfId="0" applyFont="1" applyFill="1" applyBorder="1" applyAlignment="1" applyProtection="1">
      <alignment horizontal="center" vertical="center" shrinkToFit="1"/>
      <protection locked="0"/>
    </xf>
    <xf numFmtId="164" fontId="2" fillId="0" borderId="0" xfId="0" applyNumberFormat="1" applyFont="1" applyFill="1" applyBorder="1" applyAlignment="1" applyProtection="1">
      <alignment vertical="top"/>
      <protection locked="0"/>
    </xf>
    <xf numFmtId="164" fontId="59" fillId="2" borderId="5" xfId="0" applyFont="1" applyFill="1" applyBorder="1" applyAlignment="1" applyProtection="1">
      <alignment horizontal="left" vertical="center" shrinkToFit="1"/>
      <protection locked="0"/>
    </xf>
    <xf numFmtId="164" fontId="59" fillId="2" borderId="0" xfId="0" applyFont="1" applyFill="1" applyBorder="1" applyAlignment="1" applyProtection="1">
      <alignment vertical="center" wrapText="1" shrinkToFit="1"/>
      <protection locked="0"/>
    </xf>
    <xf numFmtId="164" fontId="60" fillId="2" borderId="0" xfId="0" applyFont="1" applyFill="1" applyBorder="1" applyAlignment="1" applyProtection="1">
      <alignment vertical="top" wrapText="1" shrinkToFit="1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33" fillId="2" borderId="0" xfId="0" applyFont="1" applyFill="1" applyBorder="1" applyAlignment="1" applyProtection="1">
      <alignment horizontal="left" vertical="center" shrinkToFit="1"/>
      <protection locked="0"/>
    </xf>
    <xf numFmtId="164" fontId="57" fillId="2" borderId="7" xfId="0" applyFont="1" applyFill="1" applyBorder="1" applyAlignment="1" applyProtection="1">
      <alignment horizontal="center" vertical="center" shrinkToFit="1"/>
      <protection locked="0"/>
    </xf>
    <xf numFmtId="164" fontId="38" fillId="2" borderId="6" xfId="0" applyFont="1" applyFill="1" applyBorder="1" applyAlignment="1" applyProtection="1">
      <alignment horizontal="center" vertical="center" shrinkToFit="1"/>
      <protection locked="0"/>
    </xf>
    <xf numFmtId="164" fontId="57" fillId="2" borderId="8" xfId="0" applyFont="1" applyFill="1" applyBorder="1" applyAlignment="1" applyProtection="1">
      <alignment horizontal="center" vertical="center" shrinkToFit="1"/>
      <protection locked="0"/>
    </xf>
    <xf numFmtId="164" fontId="57" fillId="2" borderId="6" xfId="0" applyFont="1" applyFill="1" applyBorder="1" applyAlignment="1" applyProtection="1">
      <alignment horizontal="center" vertical="center" shrinkToFit="1"/>
      <protection locked="0"/>
    </xf>
    <xf numFmtId="164" fontId="61" fillId="2" borderId="0" xfId="0" applyFont="1" applyFill="1" applyBorder="1" applyAlignment="1" applyProtection="1">
      <alignment horizontal="left" vertical="center" shrinkToFit="1"/>
      <protection locked="0"/>
    </xf>
    <xf numFmtId="164" fontId="61" fillId="2" borderId="0" xfId="0" applyFont="1" applyFill="1" applyBorder="1" applyAlignment="1" applyProtection="1">
      <alignment vertical="center" wrapText="1" shrinkToFit="1"/>
      <protection locked="0"/>
    </xf>
    <xf numFmtId="164" fontId="33" fillId="2" borderId="11" xfId="0" applyFont="1" applyFill="1" applyBorder="1" applyAlignment="1" applyProtection="1">
      <alignment horizontal="left" vertical="center" shrinkToFit="1"/>
      <protection locked="0"/>
    </xf>
    <xf numFmtId="164" fontId="56" fillId="2" borderId="10" xfId="0" applyFont="1" applyFill="1" applyBorder="1" applyAlignment="1" applyProtection="1">
      <alignment vertical="center" wrapText="1" shrinkToFit="1"/>
      <protection locked="0"/>
    </xf>
    <xf numFmtId="164" fontId="56" fillId="2" borderId="0" xfId="0" applyFont="1" applyFill="1" applyBorder="1" applyAlignment="1" applyProtection="1">
      <alignment vertical="center" wrapText="1" shrinkToFit="1"/>
      <protection locked="0"/>
    </xf>
    <xf numFmtId="165" fontId="57" fillId="2" borderId="6" xfId="0" applyNumberFormat="1" applyFont="1" applyFill="1" applyBorder="1" applyAlignment="1" applyProtection="1">
      <alignment horizontal="center" vertical="center" shrinkToFit="1"/>
      <protection locked="0"/>
    </xf>
    <xf numFmtId="164" fontId="43" fillId="2" borderId="5" xfId="0" applyNumberFormat="1" applyFont="1" applyFill="1" applyBorder="1" applyAlignment="1" applyProtection="1">
      <alignment horizontal="left" vertical="center"/>
      <protection locked="0"/>
    </xf>
    <xf numFmtId="164" fontId="43" fillId="2" borderId="0" xfId="0" applyNumberFormat="1" applyFont="1" applyFill="1" applyBorder="1" applyAlignment="1" applyProtection="1">
      <alignment vertical="center"/>
      <protection locked="0"/>
    </xf>
    <xf numFmtId="164" fontId="5" fillId="2" borderId="0" xfId="21" applyNumberFormat="1" applyFont="1" applyFill="1" applyBorder="1" applyAlignment="1" applyProtection="1">
      <alignment vertical="center"/>
      <protection locked="0"/>
    </xf>
    <xf numFmtId="164" fontId="46" fillId="2" borderId="0" xfId="0" applyNumberFormat="1" applyFont="1" applyFill="1" applyBorder="1" applyAlignment="1" applyProtection="1">
      <alignment horizontal="left"/>
      <protection locked="0"/>
    </xf>
    <xf numFmtId="164" fontId="46" fillId="0" borderId="0" xfId="0" applyNumberFormat="1" applyFont="1" applyFill="1" applyBorder="1" applyAlignment="1" applyProtection="1">
      <alignment horizontal="left"/>
      <protection locked="0"/>
    </xf>
    <xf numFmtId="164" fontId="12" fillId="2" borderId="0" xfId="0" applyNumberFormat="1" applyFont="1" applyFill="1" applyBorder="1" applyAlignment="1" applyProtection="1">
      <alignment horizontal="left"/>
      <protection locked="0"/>
    </xf>
    <xf numFmtId="164" fontId="32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32" fillId="2" borderId="0" xfId="0" applyFont="1" applyFill="1" applyBorder="1" applyAlignment="1" applyProtection="1">
      <alignment horizontal="left" vertical="center" wrapText="1" shrinkToFit="1"/>
      <protection locked="0"/>
    </xf>
    <xf numFmtId="164" fontId="27" fillId="2" borderId="0" xfId="0" applyNumberFormat="1" applyFont="1" applyFill="1" applyBorder="1" applyAlignment="1" applyProtection="1">
      <alignment horizontal="left" vertical="center"/>
      <protection locked="0"/>
    </xf>
    <xf numFmtId="164" fontId="62" fillId="2" borderId="11" xfId="0" applyFont="1" applyFill="1" applyBorder="1" applyAlignment="1" applyProtection="1">
      <alignment horizontal="left" vertical="center" wrapText="1" shrinkToFit="1"/>
      <protection locked="0"/>
    </xf>
    <xf numFmtId="164" fontId="63" fillId="2" borderId="6" xfId="0" applyFont="1" applyFill="1" applyBorder="1" applyAlignment="1" applyProtection="1">
      <alignment horizontal="center" vertical="center" wrapText="1" shrinkToFit="1"/>
      <protection locked="0"/>
    </xf>
    <xf numFmtId="164" fontId="44" fillId="2" borderId="6" xfId="0" applyFont="1" applyFill="1" applyBorder="1" applyAlignment="1" applyProtection="1">
      <alignment horizontal="center" vertical="center" wrapText="1" shrinkToFit="1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37" fillId="2" borderId="7" xfId="0" applyFont="1" applyFill="1" applyBorder="1" applyAlignment="1" applyProtection="1">
      <alignment horizontal="center" vertical="center" wrapText="1" shrinkToFit="1"/>
      <protection locked="0"/>
    </xf>
    <xf numFmtId="164" fontId="37" fillId="2" borderId="8" xfId="0" applyFont="1" applyFill="1" applyBorder="1" applyAlignment="1" applyProtection="1">
      <alignment horizontal="center" vertical="center" wrapText="1" shrinkToFit="1"/>
      <protection locked="0"/>
    </xf>
    <xf numFmtId="164" fontId="43" fillId="2" borderId="5" xfId="0" applyFont="1" applyFill="1" applyBorder="1" applyAlignment="1" applyProtection="1">
      <alignment horizontal="left" vertical="center" shrinkToFit="1"/>
      <protection locked="0"/>
    </xf>
    <xf numFmtId="164" fontId="43" fillId="2" borderId="0" xfId="0" applyFont="1" applyFill="1" applyBorder="1" applyAlignment="1" applyProtection="1">
      <alignment horizontal="left" vertical="center" shrinkToFit="1"/>
      <protection locked="0"/>
    </xf>
    <xf numFmtId="164" fontId="62" fillId="2" borderId="0" xfId="0" applyFont="1" applyFill="1" applyBorder="1" applyAlignment="1" applyProtection="1">
      <alignment horizontal="left" vertical="center" wrapText="1" shrinkToFit="1"/>
      <protection locked="0"/>
    </xf>
    <xf numFmtId="164" fontId="34" fillId="2" borderId="0" xfId="0" applyFont="1" applyFill="1" applyBorder="1" applyAlignment="1" applyProtection="1">
      <alignment horizontal="center" vertical="center" wrapText="1" shrinkToFit="1"/>
      <protection locked="0"/>
    </xf>
    <xf numFmtId="164" fontId="60" fillId="2" borderId="0" xfId="0" applyFont="1" applyFill="1" applyBorder="1" applyAlignment="1" applyProtection="1">
      <alignment vertical="center" wrapText="1" shrinkToFit="1"/>
      <protection locked="0"/>
    </xf>
    <xf numFmtId="164" fontId="64" fillId="2" borderId="0" xfId="0" applyFont="1" applyFill="1" applyBorder="1" applyAlignment="1" applyProtection="1">
      <alignment horizontal="left" vertical="center" wrapText="1" shrinkToFit="1"/>
      <protection locked="0"/>
    </xf>
    <xf numFmtId="164" fontId="66" fillId="2" borderId="6" xfId="0" applyFont="1" applyFill="1" applyBorder="1" applyAlignment="1" applyProtection="1">
      <alignment horizontal="center" vertical="center" wrapText="1" shrinkToFit="1"/>
      <protection locked="0"/>
    </xf>
    <xf numFmtId="164" fontId="67" fillId="2" borderId="6" xfId="0" applyFont="1" applyFill="1" applyBorder="1" applyAlignment="1" applyProtection="1">
      <alignment horizontal="center" vertical="center" wrapText="1" shrinkToFit="1"/>
      <protection locked="0"/>
    </xf>
    <xf numFmtId="164" fontId="40" fillId="2" borderId="0" xfId="0" applyFont="1" applyFill="1" applyBorder="1" applyAlignment="1" applyProtection="1">
      <alignment horizontal="center" vertical="center" wrapText="1" shrinkToFit="1"/>
      <protection locked="0"/>
    </xf>
    <xf numFmtId="164" fontId="38" fillId="2" borderId="6" xfId="0" applyFont="1" applyFill="1" applyBorder="1" applyAlignment="1" applyProtection="1">
      <alignment horizontal="center" vertical="center" shrinkToFit="1"/>
      <protection/>
    </xf>
    <xf numFmtId="164" fontId="61" fillId="2" borderId="0" xfId="0" applyFont="1" applyFill="1" applyBorder="1" applyAlignment="1" applyProtection="1">
      <alignment horizontal="left" vertical="center" wrapText="1" shrinkToFit="1"/>
      <protection locked="0"/>
    </xf>
    <xf numFmtId="164" fontId="38" fillId="2" borderId="0" xfId="0" applyFont="1" applyFill="1" applyBorder="1" applyAlignment="1" applyProtection="1">
      <alignment horizontal="center" vertical="center" shrinkToFit="1"/>
      <protection locked="0"/>
    </xf>
    <xf numFmtId="164" fontId="68" fillId="2" borderId="0" xfId="0" applyFont="1" applyFill="1" applyBorder="1" applyAlignment="1" applyProtection="1">
      <alignment horizontal="left" vertical="center" wrapText="1" shrinkToFit="1"/>
      <protection locked="0"/>
    </xf>
    <xf numFmtId="164" fontId="67" fillId="2" borderId="7" xfId="0" applyFont="1" applyFill="1" applyBorder="1" applyAlignment="1" applyProtection="1">
      <alignment horizontal="center" vertical="center" shrinkToFit="1"/>
      <protection locked="0"/>
    </xf>
    <xf numFmtId="164" fontId="38" fillId="2" borderId="7" xfId="0" applyFont="1" applyFill="1" applyBorder="1" applyAlignment="1" applyProtection="1">
      <alignment horizontal="center" vertical="center" shrinkToFit="1"/>
      <protection/>
    </xf>
    <xf numFmtId="164" fontId="67" fillId="2" borderId="6" xfId="0" applyFont="1" applyFill="1" applyBorder="1" applyAlignment="1" applyProtection="1">
      <alignment horizontal="center" vertical="center" shrinkToFit="1"/>
      <protection locked="0"/>
    </xf>
    <xf numFmtId="164" fontId="43" fillId="2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0" xfId="21" applyNumberFormat="1" applyFont="1" applyFill="1" applyBorder="1" applyAlignment="1" applyProtection="1">
      <alignment/>
      <protection locked="0"/>
    </xf>
    <xf numFmtId="164" fontId="5" fillId="0" borderId="0" xfId="21" applyNumberFormat="1" applyFont="1" applyFill="1" applyBorder="1" applyAlignment="1" applyProtection="1">
      <alignment horizontal="left"/>
      <protection locked="0"/>
    </xf>
    <xf numFmtId="164" fontId="31" fillId="0" borderId="0" xfId="0" applyNumberFormat="1" applyFont="1" applyFill="1" applyBorder="1" applyAlignment="1" applyProtection="1">
      <alignment horizontal="left"/>
      <protection locked="0"/>
    </xf>
    <xf numFmtId="164" fontId="31" fillId="0" borderId="0" xfId="0" applyNumberFormat="1" applyFont="1" applyFill="1" applyBorder="1" applyAlignment="1" applyProtection="1">
      <alignment/>
      <protection locked="0"/>
    </xf>
    <xf numFmtId="164" fontId="32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164" fontId="31" fillId="0" borderId="0" xfId="0" applyNumberFormat="1" applyFont="1" applyFill="1" applyBorder="1" applyAlignment="1" applyProtection="1">
      <alignment horizontal="left" vertical="center"/>
      <protection locked="0"/>
    </xf>
    <xf numFmtId="164" fontId="37" fillId="0" borderId="0" xfId="0" applyNumberFormat="1" applyFont="1" applyFill="1" applyBorder="1" applyAlignment="1" applyProtection="1">
      <alignment horizontal="center" vertical="center"/>
      <protection locked="0"/>
    </xf>
    <xf numFmtId="164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164" fontId="52" fillId="2" borderId="0" xfId="0" applyFont="1" applyFill="1" applyBorder="1" applyAlignment="1" applyProtection="1">
      <alignment vertical="center" wrapText="1" shrinkToFit="1"/>
      <protection locked="0"/>
    </xf>
    <xf numFmtId="164" fontId="32" fillId="0" borderId="0" xfId="0" applyNumberFormat="1" applyFont="1" applyFill="1" applyBorder="1" applyAlignment="1" applyProtection="1">
      <alignment vertical="center"/>
      <protection locked="0"/>
    </xf>
    <xf numFmtId="164" fontId="31" fillId="0" borderId="0" xfId="0" applyNumberFormat="1" applyFont="1" applyFill="1" applyBorder="1" applyAlignment="1" applyProtection="1">
      <alignment vertical="center"/>
      <protection locked="0"/>
    </xf>
    <xf numFmtId="164" fontId="63" fillId="2" borderId="12" xfId="0" applyFont="1" applyFill="1" applyBorder="1" applyAlignment="1" applyProtection="1">
      <alignment horizontal="center" vertical="center" wrapText="1" shrinkToFit="1"/>
      <protection locked="0"/>
    </xf>
    <xf numFmtId="164" fontId="55" fillId="2" borderId="0" xfId="0" applyFont="1" applyFill="1" applyBorder="1" applyAlignment="1" applyProtection="1">
      <alignment horizontal="center" vertical="center" wrapText="1" shrinkToFit="1"/>
      <protection locked="0"/>
    </xf>
    <xf numFmtId="164" fontId="69" fillId="2" borderId="7" xfId="0" applyNumberFormat="1" applyFont="1" applyFill="1" applyBorder="1" applyAlignment="1" applyProtection="1">
      <alignment horizontal="center" wrapText="1"/>
      <protection locked="0"/>
    </xf>
    <xf numFmtId="164" fontId="70" fillId="2" borderId="6" xfId="0" applyFont="1" applyFill="1" applyBorder="1" applyAlignment="1" applyProtection="1">
      <alignment horizontal="center" vertical="center" wrapText="1" shrinkToFit="1"/>
      <protection locked="0"/>
    </xf>
    <xf numFmtId="164" fontId="38" fillId="2" borderId="6" xfId="0" applyNumberFormat="1" applyFont="1" applyFill="1" applyBorder="1" applyAlignment="1" applyProtection="1">
      <alignment horizontal="center" vertical="center"/>
      <protection/>
    </xf>
    <xf numFmtId="164" fontId="69" fillId="2" borderId="8" xfId="0" applyNumberFormat="1" applyFont="1" applyFill="1" applyBorder="1" applyAlignment="1" applyProtection="1">
      <alignment horizontal="center" wrapText="1"/>
      <protection locked="0"/>
    </xf>
    <xf numFmtId="164" fontId="69" fillId="2" borderId="6" xfId="0" applyNumberFormat="1" applyFont="1" applyFill="1" applyBorder="1" applyAlignment="1" applyProtection="1">
      <alignment horizontal="center" wrapText="1"/>
      <protection locked="0"/>
    </xf>
    <xf numFmtId="164" fontId="70" fillId="2" borderId="4" xfId="0" applyFont="1" applyFill="1" applyBorder="1" applyAlignment="1" applyProtection="1">
      <alignment horizontal="center" vertical="center" wrapText="1" shrinkToFit="1"/>
      <protection locked="0"/>
    </xf>
    <xf numFmtId="164" fontId="40" fillId="2" borderId="6" xfId="0" applyFont="1" applyFill="1" applyBorder="1" applyAlignment="1" applyProtection="1">
      <alignment horizontal="center" vertical="center" wrapText="1" shrinkToFit="1"/>
      <protection locked="0"/>
    </xf>
    <xf numFmtId="165" fontId="4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71" fillId="2" borderId="0" xfId="0" applyFont="1" applyFill="1" applyAlignment="1" applyProtection="1">
      <alignment vertical="center" wrapText="1" shrinkToFit="1"/>
      <protection locked="0"/>
    </xf>
    <xf numFmtId="164" fontId="71" fillId="2" borderId="0" xfId="0" applyFont="1" applyFill="1" applyBorder="1" applyAlignment="1" applyProtection="1">
      <alignment vertical="center" wrapText="1" shrinkToFit="1"/>
      <protection locked="0"/>
    </xf>
    <xf numFmtId="164" fontId="67" fillId="2" borderId="0" xfId="0" applyFont="1" applyFill="1" applyBorder="1" applyAlignment="1" applyProtection="1">
      <alignment horizontal="center" vertical="center" shrinkToFit="1"/>
      <protection locked="0"/>
    </xf>
    <xf numFmtId="164" fontId="33" fillId="2" borderId="11" xfId="0" applyFont="1" applyFill="1" applyBorder="1" applyAlignment="1" applyProtection="1">
      <alignment horizontal="left" vertical="center" wrapText="1" shrinkToFit="1"/>
      <protection locked="0"/>
    </xf>
    <xf numFmtId="164" fontId="40" fillId="2" borderId="7" xfId="0" applyFont="1" applyFill="1" applyBorder="1" applyAlignment="1" applyProtection="1">
      <alignment horizontal="center" vertical="center" wrapText="1" shrinkToFit="1"/>
      <protection locked="0"/>
    </xf>
    <xf numFmtId="164" fontId="40" fillId="2" borderId="8" xfId="0" applyFont="1" applyFill="1" applyBorder="1" applyAlignment="1" applyProtection="1">
      <alignment horizontal="center" vertical="center" wrapText="1" shrinkToFit="1"/>
      <protection locked="0"/>
    </xf>
    <xf numFmtId="164" fontId="61" fillId="2" borderId="5" xfId="0" applyFont="1" applyFill="1" applyBorder="1" applyAlignment="1" applyProtection="1">
      <alignment horizontal="left" vertical="center" wrapText="1" shrinkToFit="1"/>
      <protection locked="0"/>
    </xf>
    <xf numFmtId="164" fontId="33" fillId="2" borderId="11" xfId="0" applyFont="1" applyFill="1" applyBorder="1" applyAlignment="1" applyProtection="1">
      <alignment vertical="center" wrapText="1" shrinkToFit="1"/>
      <protection locked="0"/>
    </xf>
    <xf numFmtId="164" fontId="61" fillId="2" borderId="5" xfId="0" applyFont="1" applyFill="1" applyBorder="1" applyAlignment="1" applyProtection="1">
      <alignment vertical="center" wrapText="1" shrinkToFit="1"/>
      <protection locked="0"/>
    </xf>
    <xf numFmtId="164" fontId="54" fillId="0" borderId="11" xfId="0" applyNumberFormat="1" applyFont="1" applyFill="1" applyBorder="1" applyAlignment="1" applyProtection="1">
      <alignment horizontal="left" vertical="center"/>
      <protection locked="0"/>
    </xf>
    <xf numFmtId="164" fontId="54" fillId="0" borderId="11" xfId="0" applyNumberFormat="1" applyFont="1" applyFill="1" applyBorder="1" applyAlignment="1" applyProtection="1">
      <alignment/>
      <protection locked="0"/>
    </xf>
    <xf numFmtId="164" fontId="67" fillId="2" borderId="6" xfId="0" applyFont="1" applyFill="1" applyBorder="1" applyAlignment="1" applyProtection="1">
      <alignment horizontal="center" vertical="center" shrinkToFit="1"/>
      <protection/>
    </xf>
    <xf numFmtId="164" fontId="34" fillId="2" borderId="0" xfId="0" applyFont="1" applyFill="1" applyAlignment="1" applyProtection="1">
      <alignment horizontal="left" vertical="center" wrapText="1" shrinkToFit="1"/>
      <protection locked="0"/>
    </xf>
    <xf numFmtId="164" fontId="34" fillId="2" borderId="0" xfId="0" applyFont="1" applyFill="1" applyBorder="1" applyAlignment="1" applyProtection="1">
      <alignment horizontal="left" vertical="center" wrapText="1" shrinkToFit="1"/>
      <protection locked="0"/>
    </xf>
    <xf numFmtId="164" fontId="75" fillId="2" borderId="0" xfId="0" applyFont="1" applyFill="1" applyBorder="1" applyAlignment="1" applyProtection="1">
      <alignment horizontal="center" vertical="center" wrapText="1" shrinkToFit="1"/>
      <protection locked="0"/>
    </xf>
    <xf numFmtId="164" fontId="71" fillId="2" borderId="0" xfId="0" applyFont="1" applyFill="1" applyAlignment="1" applyProtection="1">
      <alignment horizontal="left" vertical="center" wrapText="1" shrinkToFit="1"/>
      <protection locked="0"/>
    </xf>
    <xf numFmtId="164" fontId="76" fillId="2" borderId="0" xfId="0" applyFont="1" applyFill="1" applyAlignment="1" applyProtection="1">
      <alignment vertical="center" wrapText="1" shrinkToFit="1"/>
      <protection locked="0"/>
    </xf>
    <xf numFmtId="164" fontId="5" fillId="0" borderId="0" xfId="21" applyNumberFormat="1" applyFont="1" applyFill="1" applyBorder="1" applyAlignment="1" applyProtection="1">
      <alignment horizontal="left" vertical="center"/>
      <protection locked="0"/>
    </xf>
    <xf numFmtId="164" fontId="14" fillId="2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164" fontId="32" fillId="2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left" vertical="center"/>
      <protection locked="0"/>
    </xf>
    <xf numFmtId="164" fontId="74" fillId="2" borderId="6" xfId="0" applyFont="1" applyFill="1" applyBorder="1" applyAlignment="1" applyProtection="1">
      <alignment horizontal="center" vertical="center" wrapText="1" shrinkToFit="1"/>
      <protection locked="0"/>
    </xf>
    <xf numFmtId="164" fontId="38" fillId="2" borderId="6" xfId="0" applyFont="1" applyFill="1" applyBorder="1" applyAlignment="1" applyProtection="1">
      <alignment horizontal="center" vertical="center" wrapText="1" shrinkToFit="1"/>
      <protection/>
    </xf>
    <xf numFmtId="164" fontId="54" fillId="2" borderId="0" xfId="0" applyFont="1" applyFill="1" applyBorder="1" applyAlignment="1" applyProtection="1">
      <alignment horizontal="left" vertical="center" wrapText="1" shrinkToFit="1"/>
      <protection locked="0"/>
    </xf>
    <xf numFmtId="164" fontId="74" fillId="2" borderId="7" xfId="0" applyFont="1" applyFill="1" applyBorder="1" applyAlignment="1" applyProtection="1">
      <alignment horizontal="center" vertical="center" wrapText="1" shrinkToFit="1"/>
      <protection locked="0"/>
    </xf>
    <xf numFmtId="164" fontId="38" fillId="2" borderId="13" xfId="0" applyFont="1" applyFill="1" applyBorder="1" applyAlignment="1" applyProtection="1">
      <alignment horizontal="center" vertical="center" wrapText="1" shrinkToFit="1"/>
      <protection locked="0"/>
    </xf>
    <xf numFmtId="164" fontId="67" fillId="2" borderId="8" xfId="0" applyFont="1" applyFill="1" applyBorder="1" applyAlignment="1" applyProtection="1">
      <alignment horizontal="center" vertical="center" wrapText="1" shrinkToFit="1"/>
      <protection locked="0"/>
    </xf>
    <xf numFmtId="164" fontId="65" fillId="2" borderId="6" xfId="0" applyFont="1" applyFill="1" applyBorder="1" applyAlignment="1" applyProtection="1">
      <alignment horizontal="center" vertical="center" wrapText="1" shrinkToFit="1"/>
      <protection locked="0"/>
    </xf>
    <xf numFmtId="164" fontId="45" fillId="2" borderId="6" xfId="0" applyFont="1" applyFill="1" applyBorder="1" applyAlignment="1" applyProtection="1">
      <alignment horizontal="center" vertical="center" wrapText="1" shrinkToFit="1"/>
      <protection/>
    </xf>
    <xf numFmtId="164" fontId="45" fillId="2" borderId="6" xfId="0" applyFont="1" applyFill="1" applyBorder="1" applyAlignment="1" applyProtection="1">
      <alignment horizontal="center" vertical="center" wrapText="1" shrinkToFit="1"/>
      <protection locked="0"/>
    </xf>
    <xf numFmtId="164" fontId="77" fillId="2" borderId="6" xfId="0" applyFont="1" applyFill="1" applyBorder="1" applyAlignment="1" applyProtection="1">
      <alignment horizontal="center" vertical="center" wrapText="1" shrinkToFit="1"/>
      <protection locked="0"/>
    </xf>
    <xf numFmtId="164" fontId="41" fillId="2" borderId="6" xfId="0" applyFont="1" applyFill="1" applyBorder="1" applyAlignment="1" applyProtection="1">
      <alignment horizontal="center" vertical="center" wrapText="1" shrinkToFit="1"/>
      <protection locked="0"/>
    </xf>
    <xf numFmtId="164" fontId="65" fillId="2" borderId="6" xfId="0" applyFont="1" applyFill="1" applyBorder="1" applyAlignment="1" applyProtection="1">
      <alignment horizontal="center" vertical="center" wrapText="1" shrinkToFit="1"/>
      <protection/>
    </xf>
    <xf numFmtId="164" fontId="78" fillId="2" borderId="6" xfId="0" applyFont="1" applyFill="1" applyBorder="1" applyAlignment="1" applyProtection="1">
      <alignment horizontal="center" vertical="center" shrinkToFit="1"/>
      <protection locked="0"/>
    </xf>
    <xf numFmtId="164" fontId="58" fillId="2" borderId="6" xfId="0" applyFont="1" applyFill="1" applyBorder="1" applyAlignment="1" applyProtection="1">
      <alignment horizontal="center" vertical="center" shrinkToFit="1"/>
      <protection/>
    </xf>
    <xf numFmtId="164" fontId="78" fillId="2" borderId="6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0</xdr:row>
      <xdr:rowOff>9525</xdr:rowOff>
    </xdr:from>
    <xdr:to>
      <xdr:col>4</xdr:col>
      <xdr:colOff>390525</xdr:colOff>
      <xdr:row>0</xdr:row>
      <xdr:rowOff>1038225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525"/>
          <a:ext cx="32004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50"/>
  <sheetViews>
    <sheetView tabSelected="1" workbookViewId="0" topLeftCell="A1">
      <pane ySplit="65535" topLeftCell="A1" activePane="topLeft" state="split"/>
      <selection pane="topLeft" activeCell="E1" sqref="E1"/>
      <selection pane="bottomLeft" activeCell="A1" sqref="A1"/>
    </sheetView>
  </sheetViews>
  <sheetFormatPr defaultColWidth="9.33203125" defaultRowHeight="11.25"/>
  <cols>
    <col min="1" max="1" width="18.5" style="1" customWidth="1"/>
    <col min="2" max="2" width="23.33203125" style="1" customWidth="1"/>
    <col min="3" max="3" width="22" style="1" customWidth="1"/>
    <col min="4" max="4" width="22.5" style="1" customWidth="1"/>
    <col min="5" max="5" width="26.5" style="1" customWidth="1"/>
    <col min="6" max="6" width="26.66015625" style="1" customWidth="1"/>
    <col min="7" max="16384" width="9" style="1" customWidth="1"/>
  </cols>
  <sheetData>
    <row r="1" spans="7:21" ht="82.5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T2" s="2"/>
      <c r="U2" s="2"/>
    </row>
    <row r="3" spans="1:21" ht="16.5" customHeight="1">
      <c r="A3" s="5" t="s">
        <v>1</v>
      </c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>
      <c r="A4" s="6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>
      <c r="A5" s="6" t="s">
        <v>7</v>
      </c>
      <c r="B5" s="7" t="s">
        <v>8</v>
      </c>
      <c r="C5" s="8" t="s">
        <v>9</v>
      </c>
      <c r="D5" s="7" t="s">
        <v>10</v>
      </c>
      <c r="E5" s="8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8.5" customHeight="1">
      <c r="A6" s="10" t="s">
        <v>11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2"/>
      <c r="P6" s="2"/>
      <c r="Q6" s="2"/>
      <c r="R6" s="2"/>
      <c r="S6" s="2"/>
      <c r="T6" s="2"/>
      <c r="U6" s="2"/>
    </row>
    <row r="7" spans="1:21" ht="28.5" customHeight="1">
      <c r="A7" s="12" t="s">
        <v>12</v>
      </c>
      <c r="B7" s="12"/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  <c r="O7" s="2"/>
      <c r="P7" s="2"/>
      <c r="Q7" s="2"/>
      <c r="R7" s="2"/>
      <c r="S7" s="2"/>
      <c r="T7" s="2"/>
      <c r="U7" s="2"/>
    </row>
    <row r="8" spans="1:21" ht="15">
      <c r="A8" s="13" t="s">
        <v>13</v>
      </c>
      <c r="B8" s="14" t="s">
        <v>14</v>
      </c>
      <c r="C8" s="14"/>
      <c r="D8" s="14"/>
      <c r="E8" s="14"/>
      <c r="F8" s="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6.5">
      <c r="A9" s="13"/>
      <c r="B9" s="15" t="s">
        <v>15</v>
      </c>
      <c r="C9" s="15"/>
      <c r="D9" s="15"/>
      <c r="E9" s="15"/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">
      <c r="A10" s="16" t="s">
        <v>16</v>
      </c>
      <c r="B10" s="17" t="s">
        <v>17</v>
      </c>
      <c r="C10" s="17"/>
      <c r="D10" s="17"/>
      <c r="E10" s="17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>
      <c r="A11" s="16"/>
      <c r="B11" s="18" t="s">
        <v>18</v>
      </c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>
      <c r="A12" s="16"/>
      <c r="B12" s="15" t="s">
        <v>19</v>
      </c>
      <c r="C12" s="15"/>
      <c r="D12" s="15"/>
      <c r="E12" s="15"/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" customHeight="1">
      <c r="A13" s="13" t="s">
        <v>20</v>
      </c>
      <c r="B13" s="19" t="s">
        <v>21</v>
      </c>
      <c r="C13" s="19"/>
      <c r="D13" s="19"/>
      <c r="E13" s="19"/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customHeight="1">
      <c r="A14" s="13"/>
      <c r="B14" s="19"/>
      <c r="C14" s="19"/>
      <c r="D14" s="19"/>
      <c r="E14" s="19"/>
      <c r="F14" s="1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 customHeight="1">
      <c r="A15" s="13"/>
      <c r="B15" s="19"/>
      <c r="C15" s="19"/>
      <c r="D15" s="19"/>
      <c r="E15" s="19"/>
      <c r="F15" s="1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>
      <c r="A16" s="13"/>
      <c r="B16" s="19"/>
      <c r="C16" s="19"/>
      <c r="D16" s="19"/>
      <c r="E16" s="19"/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1" customHeight="1">
      <c r="A17" s="13"/>
      <c r="B17" s="19"/>
      <c r="C17" s="19"/>
      <c r="D17" s="19"/>
      <c r="E17" s="19"/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3.25" customHeight="1">
      <c r="A18" s="13"/>
      <c r="B18" s="19"/>
      <c r="C18" s="19"/>
      <c r="D18" s="19"/>
      <c r="E18" s="19"/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0.25" customHeight="1">
      <c r="A19" s="20" t="s">
        <v>22</v>
      </c>
      <c r="B19" s="21" t="s">
        <v>23</v>
      </c>
      <c r="C19" s="21"/>
      <c r="D19" s="21"/>
      <c r="E19" s="21"/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0.25" customHeight="1">
      <c r="A20" s="20"/>
      <c r="B20" s="21"/>
      <c r="C20" s="21"/>
      <c r="D20" s="21"/>
      <c r="E20" s="21"/>
      <c r="F20" s="2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0.25" customHeight="1">
      <c r="A21" s="22" t="s">
        <v>24</v>
      </c>
      <c r="B21" s="23" t="s">
        <v>25</v>
      </c>
      <c r="C21" s="23"/>
      <c r="D21" s="23"/>
      <c r="E21" s="23"/>
      <c r="F21" s="2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0.25" customHeight="1">
      <c r="A22" s="22"/>
      <c r="B22" s="23"/>
      <c r="C22" s="23"/>
      <c r="D22" s="23"/>
      <c r="E22" s="23"/>
      <c r="F22" s="2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22"/>
      <c r="B23" s="23"/>
      <c r="C23" s="23"/>
      <c r="D23" s="23"/>
      <c r="E23" s="23"/>
      <c r="F23" s="2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4.75" customHeight="1">
      <c r="A24" s="24" t="s">
        <v>26</v>
      </c>
      <c r="B24" s="25" t="s">
        <v>27</v>
      </c>
      <c r="C24" s="25"/>
      <c r="D24" s="25"/>
      <c r="E24" s="25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8.75" customHeight="1">
      <c r="A25" s="20" t="s">
        <v>28</v>
      </c>
      <c r="B25" s="23" t="s">
        <v>29</v>
      </c>
      <c r="C25" s="23"/>
      <c r="D25" s="23"/>
      <c r="E25" s="23"/>
      <c r="F25" s="2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0"/>
      <c r="B26" s="23"/>
      <c r="C26" s="23"/>
      <c r="D26" s="23"/>
      <c r="E26" s="23"/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 customHeight="1">
      <c r="A27" s="20"/>
      <c r="B27" s="23"/>
      <c r="C27" s="23"/>
      <c r="D27" s="23"/>
      <c r="E27" s="23"/>
      <c r="F27" s="2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3.25" customHeight="1">
      <c r="A28" s="20"/>
      <c r="B28" s="23"/>
      <c r="C28" s="23"/>
      <c r="D28" s="23"/>
      <c r="E28" s="23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>
      <c r="A29" s="26" t="s">
        <v>30</v>
      </c>
      <c r="B29" s="27"/>
      <c r="C29" s="27"/>
      <c r="D29" s="27"/>
      <c r="E29" s="27"/>
      <c r="F29" s="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>
      <c r="A30" s="28" t="s">
        <v>31</v>
      </c>
      <c r="B30" s="27"/>
      <c r="C30" s="27"/>
      <c r="D30" s="27"/>
      <c r="E30" s="27"/>
      <c r="F30" s="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>
      <c r="A31" s="29" t="s">
        <v>32</v>
      </c>
      <c r="B31" s="29"/>
      <c r="C31" s="29"/>
      <c r="D31" s="29"/>
      <c r="E31" s="29"/>
      <c r="F31" s="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2.5" customHeight="1">
      <c r="A32" s="30" t="s">
        <v>33</v>
      </c>
      <c r="B32" s="30"/>
      <c r="C32" s="30"/>
      <c r="D32" s="30"/>
      <c r="E32" s="30"/>
      <c r="F32" s="3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>
      <c r="A33" s="31" t="s">
        <v>34</v>
      </c>
      <c r="B33" s="32"/>
      <c r="C33" s="32"/>
      <c r="D33" s="32"/>
      <c r="E33" s="32"/>
      <c r="F33" s="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>
      <c r="A34" s="33" t="s">
        <v>35</v>
      </c>
      <c r="B34" s="34"/>
      <c r="C34" s="34"/>
      <c r="D34" s="34"/>
      <c r="E34" s="34"/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>
      <c r="A35" s="33" t="s">
        <v>36</v>
      </c>
      <c r="B35" s="34"/>
      <c r="C35" s="34"/>
      <c r="D35" s="34"/>
      <c r="E35" s="34"/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37</v>
      </c>
      <c r="B36" s="34"/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36" t="s">
        <v>38</v>
      </c>
      <c r="B37" s="37"/>
      <c r="C37" s="38"/>
      <c r="D37" s="39"/>
      <c r="E37" s="39"/>
      <c r="F37" s="3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>
      <c r="A38" s="40" t="s">
        <v>39</v>
      </c>
      <c r="B38" s="41"/>
      <c r="C38" s="41"/>
      <c r="D38" s="41"/>
      <c r="E38" s="41"/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43" t="s">
        <v>40</v>
      </c>
      <c r="B39" s="37"/>
      <c r="C39" s="37"/>
      <c r="D39" s="37"/>
      <c r="E39" s="37"/>
      <c r="F39" s="3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40" t="s">
        <v>41</v>
      </c>
      <c r="B40" s="40"/>
      <c r="C40" s="40"/>
      <c r="D40" s="40"/>
      <c r="E40" s="40"/>
      <c r="F40" s="4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43" t="s">
        <v>42</v>
      </c>
      <c r="B41" s="39"/>
      <c r="C41" s="39"/>
      <c r="D41" s="39"/>
      <c r="E41" s="39"/>
      <c r="F41" s="3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40" t="s">
        <v>43</v>
      </c>
      <c r="B42" s="40"/>
      <c r="C42" s="40"/>
      <c r="D42" s="40"/>
      <c r="E42" s="40"/>
      <c r="F42" s="4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44" t="s">
        <v>44</v>
      </c>
      <c r="B43" s="39"/>
      <c r="C43" s="39"/>
      <c r="D43" s="39"/>
      <c r="E43" s="39"/>
      <c r="F43" s="3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>
      <c r="A44" s="45" t="s">
        <v>45</v>
      </c>
      <c r="B44" s="46"/>
      <c r="C44" s="46"/>
      <c r="D44" s="46"/>
      <c r="E44" s="46"/>
      <c r="F44" s="4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>
      <c r="A45" s="43" t="s">
        <v>46</v>
      </c>
      <c r="B45" s="39"/>
      <c r="C45" s="39"/>
      <c r="D45" s="39"/>
      <c r="E45" s="39"/>
      <c r="F45" s="3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43" t="s">
        <v>47</v>
      </c>
      <c r="B46" s="39"/>
      <c r="C46" s="39"/>
      <c r="D46" s="39"/>
      <c r="E46" s="39"/>
      <c r="F46" s="3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">
      <c r="A47" s="43" t="s">
        <v>48</v>
      </c>
      <c r="B47" s="27"/>
      <c r="C47" s="27"/>
      <c r="D47" s="27"/>
      <c r="E47" s="27"/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>
      <c r="A48" s="43" t="s">
        <v>49</v>
      </c>
      <c r="B48" s="27"/>
      <c r="C48" s="27"/>
      <c r="D48" s="27"/>
      <c r="E48" s="27"/>
      <c r="F48" s="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>
      <c r="A49" s="47" t="s">
        <v>50</v>
      </c>
      <c r="B49" s="48"/>
      <c r="C49" s="48"/>
      <c r="D49" s="48"/>
      <c r="E49" s="48"/>
      <c r="F49" s="4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34.5" customHeight="1">
      <c r="A50" s="49" t="s">
        <v>51</v>
      </c>
      <c r="B50" s="49"/>
      <c r="C50" s="49"/>
      <c r="D50" s="49"/>
      <c r="E50" s="49"/>
      <c r="F50" s="4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sheetProtection selectLockedCells="1" selectUnlockedCells="1"/>
  <mergeCells count="22">
    <mergeCell ref="A2:F2"/>
    <mergeCell ref="A3:F3"/>
    <mergeCell ref="A6:F6"/>
    <mergeCell ref="A7:F7"/>
    <mergeCell ref="A8:A9"/>
    <mergeCell ref="B8:F8"/>
    <mergeCell ref="B9:F9"/>
    <mergeCell ref="A10:A12"/>
    <mergeCell ref="B10:F10"/>
    <mergeCell ref="B11:F11"/>
    <mergeCell ref="B12:F12"/>
    <mergeCell ref="A13:A18"/>
    <mergeCell ref="B13:F18"/>
    <mergeCell ref="A19:A20"/>
    <mergeCell ref="B19:F20"/>
    <mergeCell ref="A21:A23"/>
    <mergeCell ref="B21:F23"/>
    <mergeCell ref="B24:F24"/>
    <mergeCell ref="A25:A28"/>
    <mergeCell ref="B25:F28"/>
    <mergeCell ref="A32:F32"/>
    <mergeCell ref="A50:F50"/>
  </mergeCells>
  <printOptions/>
  <pageMargins left="0.1701388888888889" right="0.1597222222222222" top="0.25972222222222224" bottom="0.2798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Y64"/>
  <sheetViews>
    <sheetView workbookViewId="0" topLeftCell="A1">
      <pane ySplit="65535" topLeftCell="A1" activePane="topLeft" state="split"/>
      <selection pane="topLeft" activeCell="A30" sqref="A30"/>
      <selection pane="bottomLeft" activeCell="A1" sqref="A1"/>
    </sheetView>
  </sheetViews>
  <sheetFormatPr defaultColWidth="9.33203125" defaultRowHeight="11.25"/>
  <cols>
    <col min="1" max="1" width="19.66015625" style="1" customWidth="1"/>
    <col min="2" max="2" width="5" style="1" customWidth="1"/>
    <col min="3" max="3" width="8.16015625" style="1" customWidth="1"/>
    <col min="4" max="4" width="13.5" style="1" customWidth="1"/>
    <col min="5" max="5" width="7.83203125" style="1" customWidth="1"/>
    <col min="6" max="6" width="13.16015625" style="1" customWidth="1"/>
    <col min="7" max="7" width="7.33203125" style="1" customWidth="1"/>
    <col min="8" max="8" width="13.16015625" style="1" customWidth="1"/>
    <col min="9" max="9" width="10.66015625" style="1" customWidth="1"/>
    <col min="10" max="10" width="17" style="1" customWidth="1"/>
    <col min="11" max="11" width="12.33203125" style="1" customWidth="1"/>
    <col min="12" max="12" width="12.66015625" style="1" customWidth="1"/>
    <col min="13" max="25" width="9" style="2" customWidth="1"/>
    <col min="26" max="16384" width="9" style="1" customWidth="1"/>
  </cols>
  <sheetData>
    <row r="1" spans="1:25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V1" s="1"/>
      <c r="W1" s="1"/>
      <c r="X1" s="1"/>
      <c r="Y1" s="1"/>
    </row>
    <row r="2" spans="1:16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0"/>
      <c r="M2" s="51"/>
      <c r="N2" s="51"/>
      <c r="O2" s="51"/>
      <c r="P2" s="51"/>
    </row>
    <row r="3" spans="1:16" ht="18.75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2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9.25" customHeight="1">
      <c r="A5" s="54" t="s">
        <v>54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1"/>
      <c r="N5" s="51"/>
      <c r="O5" s="51"/>
      <c r="P5" s="51"/>
    </row>
    <row r="6" spans="1:16" ht="30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51"/>
      <c r="N6" s="51"/>
      <c r="O6" s="51"/>
      <c r="P6" s="51"/>
    </row>
    <row r="7" spans="1:16" ht="15.75" customHeight="1">
      <c r="A7" s="58" t="s">
        <v>55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59"/>
      <c r="N7" s="59"/>
      <c r="O7" s="59"/>
      <c r="P7" s="59"/>
    </row>
    <row r="8" spans="1:16" ht="15.75">
      <c r="A8" s="60" t="s">
        <v>56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29"/>
      <c r="M8" s="29"/>
      <c r="N8" s="29"/>
      <c r="O8" s="29"/>
      <c r="P8" s="29"/>
    </row>
    <row r="9" spans="1:16" ht="15.75">
      <c r="A9" s="61" t="s">
        <v>57</v>
      </c>
      <c r="B9" s="61"/>
      <c r="C9" s="61"/>
      <c r="D9" s="61"/>
      <c r="E9" s="61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5.75">
      <c r="A10" s="60" t="s">
        <v>58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29"/>
      <c r="M10" s="29"/>
      <c r="N10" s="29"/>
      <c r="O10" s="29"/>
      <c r="P10" s="29"/>
    </row>
    <row r="11" spans="1:16" ht="15.75">
      <c r="A11" s="60" t="s">
        <v>59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29"/>
      <c r="M11" s="29"/>
      <c r="N11" s="29"/>
      <c r="O11" s="29"/>
      <c r="P11" s="29"/>
    </row>
    <row r="12" spans="1:16" ht="15.75" customHeight="1">
      <c r="A12" s="58" t="s">
        <v>60</v>
      </c>
      <c r="B12" s="58"/>
      <c r="C12" s="58"/>
      <c r="D12" s="60" t="s">
        <v>61</v>
      </c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62"/>
    </row>
    <row r="13" spans="1:16" ht="15.75">
      <c r="A13" s="60" t="s">
        <v>62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29"/>
      <c r="M13" s="29"/>
      <c r="N13" s="29"/>
      <c r="O13" s="29"/>
      <c r="P13" s="29"/>
    </row>
    <row r="14" spans="1:16" ht="15.75">
      <c r="A14" s="60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29"/>
      <c r="M14" s="29"/>
      <c r="N14" s="29"/>
      <c r="O14" s="29"/>
      <c r="P14" s="29"/>
    </row>
    <row r="15" spans="1:16" ht="15.75">
      <c r="A15" s="58" t="s">
        <v>64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59"/>
      <c r="N15" s="59"/>
      <c r="O15" s="59"/>
      <c r="P15" s="59"/>
    </row>
    <row r="16" spans="1:24" ht="20.25" customHeight="1">
      <c r="A16" s="63" t="s">
        <v>65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5" ht="30" customHeight="1">
      <c r="A17" s="65" t="s">
        <v>66</v>
      </c>
      <c r="B17" s="65"/>
      <c r="C17" s="66" t="s">
        <v>67</v>
      </c>
      <c r="D17" s="66" t="s">
        <v>68</v>
      </c>
      <c r="E17" s="66" t="s">
        <v>69</v>
      </c>
      <c r="F17" s="66" t="s">
        <v>70</v>
      </c>
      <c r="G17" s="66" t="s">
        <v>71</v>
      </c>
      <c r="H17" s="66" t="s">
        <v>72</v>
      </c>
      <c r="I17" s="66" t="s">
        <v>73</v>
      </c>
      <c r="J17" s="66" t="s">
        <v>74</v>
      </c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ht="15.75">
      <c r="A18" s="69">
        <v>40875</v>
      </c>
      <c r="B18" s="70" t="s">
        <v>75</v>
      </c>
      <c r="C18" s="71">
        <v>719</v>
      </c>
      <c r="D18" s="71">
        <v>785</v>
      </c>
      <c r="E18" s="71">
        <v>1098</v>
      </c>
      <c r="F18" s="71">
        <v>1164</v>
      </c>
      <c r="G18" s="71">
        <v>663</v>
      </c>
      <c r="H18" s="71">
        <v>729</v>
      </c>
      <c r="I18" s="71">
        <v>621</v>
      </c>
      <c r="J18" s="71">
        <v>676</v>
      </c>
      <c r="K18" s="72"/>
      <c r="L18" s="73"/>
      <c r="M18" s="74"/>
      <c r="N18" s="74"/>
      <c r="U18" s="68"/>
      <c r="V18" s="68"/>
      <c r="W18" s="68"/>
      <c r="X18" s="68"/>
      <c r="Y18" s="68"/>
    </row>
    <row r="19" spans="1:25" ht="18.75" customHeight="1">
      <c r="A19" s="75" t="s">
        <v>76</v>
      </c>
      <c r="B19" s="70" t="s">
        <v>75</v>
      </c>
      <c r="C19" s="71">
        <v>711</v>
      </c>
      <c r="D19" s="71">
        <v>777</v>
      </c>
      <c r="E19" s="71">
        <v>1083</v>
      </c>
      <c r="F19" s="71">
        <v>1149</v>
      </c>
      <c r="G19" s="71">
        <v>655</v>
      </c>
      <c r="H19" s="71">
        <v>721</v>
      </c>
      <c r="I19" s="71">
        <v>616</v>
      </c>
      <c r="J19" s="71">
        <v>671</v>
      </c>
      <c r="K19" s="72"/>
      <c r="L19" s="73"/>
      <c r="M19" s="74"/>
      <c r="N19" s="74"/>
      <c r="U19" s="68"/>
      <c r="V19" s="68"/>
      <c r="W19" s="68"/>
      <c r="X19" s="68"/>
      <c r="Y19" s="68"/>
    </row>
    <row r="20" spans="1:25" ht="15.75">
      <c r="A20" s="69">
        <v>40903</v>
      </c>
      <c r="B20" s="70" t="s">
        <v>75</v>
      </c>
      <c r="C20" s="71">
        <v>782</v>
      </c>
      <c r="D20" s="71">
        <v>848</v>
      </c>
      <c r="E20" s="71">
        <v>1191</v>
      </c>
      <c r="F20" s="71">
        <v>1257</v>
      </c>
      <c r="G20" s="71">
        <v>713</v>
      </c>
      <c r="H20" s="71">
        <v>779</v>
      </c>
      <c r="I20" s="71">
        <v>675</v>
      </c>
      <c r="J20" s="71">
        <v>730</v>
      </c>
      <c r="K20" s="72"/>
      <c r="L20" s="73"/>
      <c r="M20" s="74"/>
      <c r="N20" s="74"/>
      <c r="U20" s="68"/>
      <c r="V20" s="68"/>
      <c r="W20" s="68"/>
      <c r="X20" s="68"/>
      <c r="Y20" s="68"/>
    </row>
    <row r="21" spans="1:25" ht="17.25" customHeight="1">
      <c r="A21" s="75" t="s">
        <v>77</v>
      </c>
      <c r="B21" s="70" t="s">
        <v>75</v>
      </c>
      <c r="C21" s="71">
        <v>711</v>
      </c>
      <c r="D21" s="71">
        <v>777</v>
      </c>
      <c r="E21" s="71">
        <v>1083</v>
      </c>
      <c r="F21" s="71">
        <v>1149</v>
      </c>
      <c r="G21" s="71">
        <v>655</v>
      </c>
      <c r="H21" s="71">
        <v>721</v>
      </c>
      <c r="I21" s="71">
        <v>616</v>
      </c>
      <c r="J21" s="71">
        <v>671</v>
      </c>
      <c r="K21" s="72"/>
      <c r="L21" s="73"/>
      <c r="M21" s="74"/>
      <c r="N21" s="74"/>
      <c r="U21" s="68"/>
      <c r="V21" s="68"/>
      <c r="W21" s="68"/>
      <c r="X21" s="68"/>
      <c r="Y21" s="68"/>
    </row>
    <row r="22" spans="1:24" ht="14.25" customHeight="1">
      <c r="A22" s="76" t="s">
        <v>64</v>
      </c>
      <c r="B22" s="76"/>
      <c r="C22" s="76"/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20.25" customHeight="1">
      <c r="A23" s="63" t="s">
        <v>78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78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5" ht="25.5" customHeight="1">
      <c r="A24" s="65" t="s">
        <v>66</v>
      </c>
      <c r="B24" s="65"/>
      <c r="C24" s="79" t="s">
        <v>79</v>
      </c>
      <c r="D24" s="79" t="s">
        <v>80</v>
      </c>
      <c r="E24" s="79" t="s">
        <v>81</v>
      </c>
      <c r="F24" s="79" t="s">
        <v>82</v>
      </c>
      <c r="G24" s="79" t="s">
        <v>83</v>
      </c>
      <c r="H24" s="79"/>
      <c r="I24" s="80"/>
      <c r="J24" s="2"/>
      <c r="K24" s="77"/>
      <c r="L24" s="77"/>
      <c r="M24" s="77"/>
      <c r="N24" s="77"/>
      <c r="O24" s="77"/>
      <c r="P24" s="77"/>
      <c r="Q24" s="77"/>
      <c r="S24" s="81"/>
      <c r="T24" s="81"/>
      <c r="U24" s="81"/>
      <c r="V24" s="81"/>
      <c r="W24" s="81"/>
      <c r="X24" s="81"/>
      <c r="Y24" s="81"/>
    </row>
    <row r="25" spans="1:25" ht="15.75">
      <c r="A25" s="82">
        <v>40875</v>
      </c>
      <c r="B25" s="83" t="s">
        <v>75</v>
      </c>
      <c r="C25" s="71">
        <v>719</v>
      </c>
      <c r="D25" s="71">
        <v>1089</v>
      </c>
      <c r="E25" s="71">
        <v>675</v>
      </c>
      <c r="F25" s="71">
        <v>611</v>
      </c>
      <c r="G25" s="71">
        <v>675</v>
      </c>
      <c r="H25" s="71">
        <v>675</v>
      </c>
      <c r="I25" s="84"/>
      <c r="J25" s="2"/>
      <c r="K25" s="77"/>
      <c r="L25" s="77"/>
      <c r="M25" s="77"/>
      <c r="N25" s="77"/>
      <c r="O25" s="77"/>
      <c r="P25" s="77"/>
      <c r="Q25" s="77"/>
      <c r="S25" s="81"/>
      <c r="T25" s="81"/>
      <c r="U25" s="81"/>
      <c r="V25" s="81"/>
      <c r="W25" s="81"/>
      <c r="X25" s="81"/>
      <c r="Y25" s="81"/>
    </row>
    <row r="26" spans="1:25" ht="15.75" customHeight="1">
      <c r="A26" s="85" t="s">
        <v>84</v>
      </c>
      <c r="B26" s="83" t="s">
        <v>75</v>
      </c>
      <c r="C26" s="71">
        <v>711</v>
      </c>
      <c r="D26" s="71">
        <v>1074</v>
      </c>
      <c r="E26" s="71">
        <v>667</v>
      </c>
      <c r="F26" s="71">
        <v>606</v>
      </c>
      <c r="G26" s="71">
        <v>667</v>
      </c>
      <c r="H26" s="71">
        <v>667</v>
      </c>
      <c r="I26" s="84"/>
      <c r="J26" s="2"/>
      <c r="K26" s="77"/>
      <c r="L26" s="77"/>
      <c r="M26" s="77"/>
      <c r="N26" s="77"/>
      <c r="O26" s="77"/>
      <c r="P26" s="77"/>
      <c r="Q26" s="77"/>
      <c r="S26" s="81"/>
      <c r="T26" s="81"/>
      <c r="U26" s="81"/>
      <c r="V26" s="81"/>
      <c r="W26" s="81"/>
      <c r="X26" s="81"/>
      <c r="Y26" s="81"/>
    </row>
    <row r="27" spans="1:25" ht="15" customHeight="1">
      <c r="A27" s="85" t="s">
        <v>77</v>
      </c>
      <c r="B27" s="83" t="s">
        <v>75</v>
      </c>
      <c r="C27" s="71">
        <v>702</v>
      </c>
      <c r="D27" s="71">
        <v>1059</v>
      </c>
      <c r="E27" s="71">
        <v>661</v>
      </c>
      <c r="F27" s="71">
        <v>600</v>
      </c>
      <c r="G27" s="71">
        <v>661</v>
      </c>
      <c r="H27" s="71">
        <v>661</v>
      </c>
      <c r="I27" s="84"/>
      <c r="J27" s="2"/>
      <c r="K27" s="77"/>
      <c r="L27" s="77"/>
      <c r="M27" s="77"/>
      <c r="N27" s="77"/>
      <c r="O27" s="77"/>
      <c r="P27" s="77"/>
      <c r="Q27" s="77"/>
      <c r="S27" s="81"/>
      <c r="T27" s="81"/>
      <c r="U27" s="81"/>
      <c r="V27" s="81"/>
      <c r="W27" s="81"/>
      <c r="X27" s="81"/>
      <c r="Y27" s="81"/>
    </row>
    <row r="28" spans="1:24" ht="12.75">
      <c r="A28" s="86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ht="16.5" customHeight="1">
      <c r="A29" s="87" t="s">
        <v>85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15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4"/>
      <c r="M31" s="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ht="18.75">
      <c r="A32" s="90"/>
      <c r="B32" s="90"/>
      <c r="C32" s="90"/>
      <c r="D32" s="90"/>
      <c r="E32" s="91"/>
      <c r="F32" s="91"/>
      <c r="G32" s="91"/>
      <c r="H32" s="91"/>
      <c r="I32" s="90"/>
      <c r="J32" s="90"/>
      <c r="K32" s="90"/>
      <c r="L32" s="4"/>
      <c r="M32" s="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17.25">
      <c r="A33" s="92"/>
      <c r="B33" s="92"/>
      <c r="C33" s="92"/>
      <c r="D33" s="92"/>
      <c r="E33" s="92"/>
      <c r="F33" s="92"/>
      <c r="G33" s="92"/>
      <c r="H33" s="92"/>
      <c r="I33" s="11"/>
      <c r="J33" s="11"/>
      <c r="K33" s="11"/>
      <c r="L33" s="4"/>
      <c r="M33" s="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ht="17.25">
      <c r="A34" s="93"/>
      <c r="B34" s="93"/>
      <c r="C34" s="93"/>
      <c r="D34" s="93"/>
      <c r="E34" s="93"/>
      <c r="F34" s="93"/>
      <c r="G34" s="11"/>
      <c r="H34" s="11"/>
      <c r="I34" s="11"/>
      <c r="J34" s="11"/>
      <c r="K34" s="11"/>
      <c r="L34" s="4"/>
      <c r="M34" s="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  <row r="35" spans="1:24" ht="17.25">
      <c r="A35" s="94"/>
      <c r="B35" s="94"/>
      <c r="C35" s="94"/>
      <c r="D35" s="94"/>
      <c r="E35" s="94"/>
      <c r="F35" s="94"/>
      <c r="G35" s="95"/>
      <c r="H35" s="95"/>
      <c r="I35" s="95"/>
      <c r="J35" s="95"/>
      <c r="K35" s="95"/>
      <c r="L35" s="95"/>
      <c r="M35" s="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1:24" ht="12.75">
      <c r="A36" s="2"/>
      <c r="B36" s="2"/>
      <c r="C36" s="2"/>
      <c r="D36" s="2"/>
      <c r="E36" s="2"/>
      <c r="G36" s="11"/>
      <c r="H36" s="11"/>
      <c r="I36" s="11"/>
      <c r="J36" s="11"/>
      <c r="K36" s="11"/>
      <c r="L36" s="4"/>
      <c r="M36" s="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</row>
    <row r="40" spans="1:2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2" spans="1:2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spans="1:2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1:2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1:2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</row>
    <row r="53" spans="1:2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</row>
  </sheetData>
  <sheetProtection selectLockedCells="1" selectUnlockedCells="1"/>
  <mergeCells count="28">
    <mergeCell ref="A1:K1"/>
    <mergeCell ref="A2:K2"/>
    <mergeCell ref="A5:K5"/>
    <mergeCell ref="A6:K6"/>
    <mergeCell ref="A7:K7"/>
    <mergeCell ref="A8:K8"/>
    <mergeCell ref="A9:E9"/>
    <mergeCell ref="A10:K10"/>
    <mergeCell ref="A11:K11"/>
    <mergeCell ref="A12:C12"/>
    <mergeCell ref="D12:G12"/>
    <mergeCell ref="A13:K13"/>
    <mergeCell ref="A14:K14"/>
    <mergeCell ref="A15:K15"/>
    <mergeCell ref="A16:K16"/>
    <mergeCell ref="A17:B17"/>
    <mergeCell ref="A22:F22"/>
    <mergeCell ref="A23:K23"/>
    <mergeCell ref="A24:B24"/>
    <mergeCell ref="G24:H24"/>
    <mergeCell ref="S24:Y27"/>
    <mergeCell ref="A29:K29"/>
    <mergeCell ref="A31:K31"/>
    <mergeCell ref="A32:D32"/>
    <mergeCell ref="A33:D33"/>
    <mergeCell ref="E33:H33"/>
    <mergeCell ref="A34:F34"/>
    <mergeCell ref="A35:F35"/>
  </mergeCells>
  <printOptions/>
  <pageMargins left="0.1701388888888889" right="0.1597222222222222" top="0.2701388888888889" bottom="0.2701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Y32"/>
  <sheetViews>
    <sheetView workbookViewId="0" topLeftCell="A1">
      <pane ySplit="65535" topLeftCell="A1" activePane="topLeft" state="split"/>
      <selection pane="topLeft" activeCell="A33" sqref="A33"/>
      <selection pane="bottomLeft" activeCell="A1" sqref="A1"/>
    </sheetView>
  </sheetViews>
  <sheetFormatPr defaultColWidth="9.33203125" defaultRowHeight="11.25"/>
  <cols>
    <col min="1" max="1" width="15.66015625" style="1" customWidth="1"/>
    <col min="2" max="2" width="3.66015625" style="1" customWidth="1"/>
    <col min="3" max="3" width="6.5" style="1" customWidth="1"/>
    <col min="4" max="4" width="8.83203125" style="1" customWidth="1"/>
    <col min="5" max="5" width="6" style="1" customWidth="1"/>
    <col min="6" max="6" width="8" style="1" customWidth="1"/>
    <col min="7" max="7" width="8.83203125" style="1" customWidth="1"/>
    <col min="8" max="8" width="6.5" style="1" customWidth="1"/>
    <col min="9" max="9" width="8" style="1" customWidth="1"/>
    <col min="10" max="10" width="9" style="1" customWidth="1"/>
    <col min="11" max="11" width="8.66015625" style="1" customWidth="1"/>
    <col min="12" max="12" width="9.83203125" style="1" customWidth="1"/>
    <col min="13" max="13" width="8.66015625" style="1" customWidth="1"/>
    <col min="14" max="14" width="9.16015625" style="1" customWidth="1"/>
    <col min="15" max="15" width="10.83203125" style="1" customWidth="1"/>
    <col min="16" max="16" width="8" style="1" customWidth="1"/>
    <col min="17" max="17" width="8.83203125" style="1" customWidth="1"/>
    <col min="18" max="16384" width="9" style="1" customWidth="1"/>
  </cols>
  <sheetData>
    <row r="1" spans="1:23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6"/>
      <c r="Q1" s="2"/>
      <c r="R1" s="2"/>
      <c r="S1" s="2"/>
      <c r="T1" s="2"/>
      <c r="U1" s="2"/>
      <c r="V1" s="2"/>
      <c r="W1" s="2"/>
    </row>
    <row r="2" spans="1:23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0"/>
      <c r="Q2" s="2"/>
      <c r="R2" s="2"/>
      <c r="S2" s="2"/>
      <c r="T2" s="2"/>
      <c r="U2" s="2"/>
      <c r="V2" s="2"/>
      <c r="W2" s="2"/>
    </row>
    <row r="3" spans="1:23" ht="18.75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"/>
      <c r="R3" s="2"/>
      <c r="S3" s="2"/>
      <c r="T3" s="2"/>
      <c r="U3" s="2"/>
      <c r="V3" s="2"/>
      <c r="W3" s="2"/>
    </row>
    <row r="4" spans="1:23" ht="18.75">
      <c r="A4" s="52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2"/>
      <c r="R4" s="2"/>
      <c r="S4" s="2"/>
      <c r="T4" s="2"/>
      <c r="U4" s="2"/>
      <c r="V4" s="2"/>
      <c r="W4" s="2"/>
    </row>
    <row r="5" spans="1:23" ht="27.75" customHeight="1">
      <c r="A5" s="54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2"/>
      <c r="R5" s="2"/>
      <c r="S5" s="2"/>
      <c r="T5" s="2"/>
      <c r="U5" s="2"/>
      <c r="V5" s="2"/>
      <c r="W5" s="2"/>
    </row>
    <row r="6" spans="1:23" ht="24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2"/>
      <c r="R6" s="2"/>
      <c r="S6" s="2"/>
      <c r="T6" s="2"/>
      <c r="U6" s="2"/>
      <c r="V6" s="2"/>
      <c r="W6" s="2"/>
    </row>
    <row r="7" spans="1:23" ht="15.75" customHeight="1">
      <c r="A7" s="59" t="s">
        <v>87</v>
      </c>
      <c r="B7" s="59"/>
      <c r="C7" s="59"/>
      <c r="D7" s="59"/>
      <c r="E7" s="58" t="s">
        <v>88</v>
      </c>
      <c r="F7" s="58"/>
      <c r="G7" s="58"/>
      <c r="H7" s="59"/>
      <c r="I7" s="59"/>
      <c r="J7" s="59"/>
      <c r="K7" s="59"/>
      <c r="L7" s="59"/>
      <c r="M7" s="59"/>
      <c r="N7" s="59"/>
      <c r="O7" s="59"/>
      <c r="P7" s="59"/>
      <c r="Q7" s="2"/>
      <c r="R7" s="2"/>
      <c r="S7" s="2"/>
      <c r="T7" s="2"/>
      <c r="U7" s="2"/>
      <c r="V7" s="2"/>
      <c r="W7" s="2"/>
    </row>
    <row r="8" spans="1:23" ht="15.75">
      <c r="A8" s="97" t="s">
        <v>89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28"/>
      <c r="P8" s="28"/>
      <c r="Q8" s="2"/>
      <c r="R8" s="2"/>
      <c r="S8" s="2"/>
      <c r="T8" s="2"/>
      <c r="U8" s="2"/>
      <c r="V8" s="2"/>
      <c r="W8" s="2"/>
    </row>
    <row r="9" spans="1:23" ht="15.75" customHeight="1">
      <c r="A9" s="2"/>
      <c r="B9" s="28"/>
      <c r="C9" s="28"/>
      <c r="D9" s="28"/>
      <c r="E9" s="58" t="s">
        <v>90</v>
      </c>
      <c r="F9" s="58"/>
      <c r="G9" s="28"/>
      <c r="H9" s="28"/>
      <c r="I9" s="28"/>
      <c r="J9" s="28"/>
      <c r="K9" s="28"/>
      <c r="L9" s="28"/>
      <c r="M9" s="28"/>
      <c r="N9" s="28"/>
      <c r="O9" s="28"/>
      <c r="P9" s="28"/>
      <c r="Q9" s="2"/>
      <c r="R9" s="2"/>
      <c r="S9" s="2"/>
      <c r="T9" s="2"/>
      <c r="U9" s="2"/>
      <c r="V9" s="2"/>
      <c r="W9" s="2"/>
    </row>
    <row r="10" spans="1:23" ht="15.75">
      <c r="A10" s="97" t="s">
        <v>91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28"/>
      <c r="P10" s="28"/>
      <c r="Q10" s="2"/>
      <c r="R10" s="2"/>
      <c r="S10" s="2"/>
      <c r="T10" s="2"/>
      <c r="U10" s="2"/>
      <c r="V10" s="2"/>
      <c r="W10" s="2"/>
    </row>
    <row r="11" spans="1:23" ht="15.75">
      <c r="A11" s="97" t="s">
        <v>92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28"/>
      <c r="P11" s="28"/>
      <c r="Q11" s="2"/>
      <c r="R11" s="2"/>
      <c r="S11" s="2"/>
      <c r="T11" s="2"/>
      <c r="U11" s="2"/>
      <c r="V11" s="2"/>
      <c r="W11" s="2"/>
    </row>
    <row r="12" spans="1:23" ht="15.75">
      <c r="A12" s="60" t="s">
        <v>93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28"/>
      <c r="P12" s="28"/>
      <c r="Q12" s="2"/>
      <c r="R12" s="4"/>
      <c r="S12" s="4"/>
      <c r="T12" s="4"/>
      <c r="U12" s="4"/>
      <c r="V12" s="4"/>
      <c r="W12" s="2"/>
    </row>
    <row r="13" spans="1:23" ht="15.75" customHeight="1">
      <c r="A13" s="59" t="s">
        <v>60</v>
      </c>
      <c r="B13" s="59"/>
      <c r="C13" s="59"/>
      <c r="D13" s="59"/>
      <c r="E13" s="97" t="s">
        <v>94</v>
      </c>
      <c r="F13" s="97"/>
      <c r="G13" s="97"/>
      <c r="H13" s="97"/>
      <c r="I13" s="97"/>
      <c r="J13" s="97"/>
      <c r="K13" s="60" t="s">
        <v>95</v>
      </c>
      <c r="L13" s="60"/>
      <c r="M13" s="60"/>
      <c r="N13" s="60"/>
      <c r="O13" s="60"/>
      <c r="P13" s="98"/>
      <c r="Q13" s="2"/>
      <c r="R13" s="4"/>
      <c r="S13" s="4"/>
      <c r="T13" s="4"/>
      <c r="U13" s="4"/>
      <c r="V13" s="4"/>
      <c r="W13" s="2"/>
    </row>
    <row r="14" spans="1:23" ht="15.75">
      <c r="A14" s="60" t="s">
        <v>96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29"/>
      <c r="P14" s="29"/>
      <c r="Q14" s="2"/>
      <c r="R14" s="4"/>
      <c r="S14" s="4"/>
      <c r="T14" s="4"/>
      <c r="U14" s="4"/>
      <c r="V14" s="4"/>
      <c r="W14" s="2"/>
    </row>
    <row r="15" spans="1:23" ht="15.75" customHeight="1">
      <c r="A15" s="58" t="s">
        <v>64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2"/>
      <c r="R15" s="4"/>
      <c r="S15" s="4"/>
      <c r="T15" s="4"/>
      <c r="U15" s="4"/>
      <c r="V15" s="4"/>
      <c r="W15" s="2"/>
    </row>
    <row r="16" spans="1:23" ht="20.25" customHeight="1">
      <c r="A16" s="99" t="s">
        <v>97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  <c r="P16" s="100"/>
      <c r="Q16" s="100"/>
      <c r="R16" s="4"/>
      <c r="S16" s="4"/>
      <c r="T16" s="4"/>
      <c r="U16" s="4"/>
      <c r="V16" s="4"/>
      <c r="W16" s="2"/>
    </row>
    <row r="17" spans="1:23" ht="36" customHeight="1">
      <c r="A17" s="65" t="s">
        <v>66</v>
      </c>
      <c r="B17" s="65"/>
      <c r="C17" s="101" t="s">
        <v>98</v>
      </c>
      <c r="D17" s="102" t="s">
        <v>99</v>
      </c>
      <c r="E17" s="101" t="s">
        <v>69</v>
      </c>
      <c r="F17" s="101" t="s">
        <v>100</v>
      </c>
      <c r="G17" s="101" t="s">
        <v>71</v>
      </c>
      <c r="H17" s="101" t="s">
        <v>101</v>
      </c>
      <c r="I17" s="102" t="s">
        <v>102</v>
      </c>
      <c r="J17" s="102" t="s">
        <v>103</v>
      </c>
      <c r="K17" s="102" t="s">
        <v>104</v>
      </c>
      <c r="L17" s="102" t="s">
        <v>105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8" customHeight="1">
      <c r="A18" s="103" t="s">
        <v>106</v>
      </c>
      <c r="B18" s="104" t="s">
        <v>75</v>
      </c>
      <c r="C18" s="71">
        <v>734</v>
      </c>
      <c r="D18" s="71">
        <v>900</v>
      </c>
      <c r="E18" s="71">
        <v>1058</v>
      </c>
      <c r="F18" s="71">
        <v>1224</v>
      </c>
      <c r="G18" s="71">
        <v>688</v>
      </c>
      <c r="H18" s="71">
        <v>854</v>
      </c>
      <c r="I18" s="71">
        <v>638</v>
      </c>
      <c r="J18" s="71">
        <v>665</v>
      </c>
      <c r="K18" s="71">
        <v>795</v>
      </c>
      <c r="L18" s="71">
        <v>822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4" ht="18" customHeight="1">
      <c r="A19" s="103" t="s">
        <v>77</v>
      </c>
      <c r="B19" s="104" t="s">
        <v>75</v>
      </c>
      <c r="C19" s="71">
        <v>725</v>
      </c>
      <c r="D19" s="71">
        <v>891</v>
      </c>
      <c r="E19" s="71">
        <v>1043</v>
      </c>
      <c r="F19" s="71">
        <v>1209</v>
      </c>
      <c r="G19" s="71">
        <v>682</v>
      </c>
      <c r="H19" s="71">
        <v>848</v>
      </c>
      <c r="I19" s="71">
        <v>632</v>
      </c>
      <c r="J19" s="71">
        <v>659</v>
      </c>
      <c r="K19" s="71">
        <v>789</v>
      </c>
      <c r="L19" s="71">
        <v>816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68"/>
      <c r="X19" s="105"/>
    </row>
    <row r="20" spans="1:24" ht="15" customHeight="1">
      <c r="A20" s="106" t="s">
        <v>64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74"/>
      <c r="Q20" s="74"/>
      <c r="R20" s="108"/>
      <c r="S20" s="108"/>
      <c r="T20" s="108"/>
      <c r="U20" s="108"/>
      <c r="V20" s="108"/>
      <c r="W20" s="4"/>
      <c r="X20" s="109"/>
    </row>
    <row r="21" spans="1:24" ht="22.5" customHeight="1">
      <c r="A21" s="110" t="s">
        <v>107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08"/>
      <c r="P21" s="108"/>
      <c r="Q21" s="108"/>
      <c r="R21" s="108"/>
      <c r="S21" s="108"/>
      <c r="T21" s="108"/>
      <c r="U21" s="108"/>
      <c r="V21" s="108"/>
      <c r="W21" s="109"/>
      <c r="X21" s="109"/>
    </row>
    <row r="22" spans="1:24" ht="30.75" customHeight="1">
      <c r="A22" s="65" t="s">
        <v>66</v>
      </c>
      <c r="B22" s="65"/>
      <c r="C22" s="101" t="s">
        <v>98</v>
      </c>
      <c r="D22" s="101" t="s">
        <v>69</v>
      </c>
      <c r="E22" s="101" t="s">
        <v>71</v>
      </c>
      <c r="F22" s="102" t="s">
        <v>102</v>
      </c>
      <c r="G22" s="102" t="s">
        <v>108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/>
      <c r="X22" s="109"/>
    </row>
    <row r="23" spans="1:25" ht="14.25" customHeight="1">
      <c r="A23" s="111" t="s">
        <v>109</v>
      </c>
      <c r="B23" s="112" t="s">
        <v>75</v>
      </c>
      <c r="C23" s="71">
        <v>757</v>
      </c>
      <c r="D23" s="71">
        <v>1115</v>
      </c>
      <c r="E23" s="71">
        <v>709</v>
      </c>
      <c r="F23" s="71">
        <v>667</v>
      </c>
      <c r="G23" s="71">
        <v>694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9"/>
      <c r="X23" s="109"/>
      <c r="Y23" s="109"/>
    </row>
    <row r="24" spans="1:25" ht="14.25" customHeight="1">
      <c r="A24" s="113" t="s">
        <v>110</v>
      </c>
      <c r="B24" s="112"/>
      <c r="C24" s="71"/>
      <c r="D24" s="71"/>
      <c r="E24" s="71"/>
      <c r="F24" s="71"/>
      <c r="G24" s="71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X24" s="109"/>
      <c r="Y24" s="109"/>
    </row>
    <row r="25" spans="1:25" ht="16.5" customHeight="1">
      <c r="A25" s="114" t="s">
        <v>111</v>
      </c>
      <c r="B25" s="112" t="s">
        <v>75</v>
      </c>
      <c r="C25" s="71">
        <v>776</v>
      </c>
      <c r="D25" s="71">
        <v>1148</v>
      </c>
      <c r="E25" s="71">
        <v>727</v>
      </c>
      <c r="F25" s="71">
        <v>683</v>
      </c>
      <c r="G25" s="71">
        <v>710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09"/>
      <c r="Y25" s="109"/>
    </row>
    <row r="26" spans="1:25" ht="18" customHeight="1">
      <c r="A26" s="115" t="s">
        <v>64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/>
      <c r="P26" s="108"/>
      <c r="Q26" s="108"/>
      <c r="R26" s="108"/>
      <c r="S26" s="108"/>
      <c r="T26" s="108"/>
      <c r="U26" s="108"/>
      <c r="V26" s="108"/>
      <c r="W26" s="109"/>
      <c r="X26" s="109"/>
      <c r="Y26" s="109"/>
    </row>
    <row r="27" spans="1:25" ht="21" customHeight="1">
      <c r="A27" s="117" t="s">
        <v>112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77"/>
      <c r="P27" s="77"/>
      <c r="Q27" s="77"/>
      <c r="R27" s="68"/>
      <c r="S27" s="68"/>
      <c r="T27" s="68"/>
      <c r="U27" s="68"/>
      <c r="V27" s="68"/>
      <c r="W27" s="105"/>
      <c r="X27" s="109"/>
      <c r="Y27" s="109"/>
    </row>
    <row r="28" spans="1:25" ht="36" customHeight="1">
      <c r="A28" s="65" t="s">
        <v>66</v>
      </c>
      <c r="B28" s="65"/>
      <c r="C28" s="101" t="s">
        <v>113</v>
      </c>
      <c r="D28" s="101" t="s">
        <v>114</v>
      </c>
      <c r="E28" s="101" t="s">
        <v>69</v>
      </c>
      <c r="F28" s="101" t="s">
        <v>100</v>
      </c>
      <c r="G28" s="101" t="s">
        <v>71</v>
      </c>
      <c r="H28" s="101" t="s">
        <v>101</v>
      </c>
      <c r="I28" s="102" t="s">
        <v>102</v>
      </c>
      <c r="J28" s="102" t="s">
        <v>115</v>
      </c>
      <c r="K28" s="102" t="s">
        <v>116</v>
      </c>
      <c r="L28" s="102" t="s">
        <v>117</v>
      </c>
      <c r="M28" s="118"/>
      <c r="N28" s="119"/>
      <c r="O28" s="119"/>
      <c r="P28" s="119"/>
      <c r="Q28" s="119"/>
      <c r="R28" s="68"/>
      <c r="S28" s="68"/>
      <c r="T28" s="68"/>
      <c r="U28" s="68"/>
      <c r="V28" s="68"/>
      <c r="W28" s="105"/>
      <c r="X28" s="109"/>
      <c r="Y28" s="109"/>
    </row>
    <row r="29" spans="1:25" ht="15.75" customHeight="1">
      <c r="A29" s="114" t="s">
        <v>109</v>
      </c>
      <c r="B29" s="112" t="s">
        <v>75</v>
      </c>
      <c r="C29" s="71">
        <v>803</v>
      </c>
      <c r="D29" s="71">
        <v>911</v>
      </c>
      <c r="E29" s="71">
        <v>1199</v>
      </c>
      <c r="F29" s="71">
        <v>1329</v>
      </c>
      <c r="G29" s="71">
        <v>759</v>
      </c>
      <c r="H29" s="71">
        <v>865</v>
      </c>
      <c r="I29" s="71">
        <v>706</v>
      </c>
      <c r="J29" s="71">
        <v>733</v>
      </c>
      <c r="K29" s="71">
        <v>835</v>
      </c>
      <c r="L29" s="71">
        <v>808</v>
      </c>
      <c r="M29" s="118"/>
      <c r="N29" s="119"/>
      <c r="O29" s="119"/>
      <c r="P29" s="119"/>
      <c r="Q29" s="119"/>
      <c r="R29" s="68"/>
      <c r="S29" s="68"/>
      <c r="T29" s="68"/>
      <c r="U29" s="68"/>
      <c r="V29" s="68"/>
      <c r="W29" s="105"/>
      <c r="X29" s="109"/>
      <c r="Y29" s="109"/>
    </row>
    <row r="30" spans="1:25" ht="15" customHeight="1">
      <c r="A30" s="120">
        <v>40903</v>
      </c>
      <c r="B30" s="112" t="s">
        <v>75</v>
      </c>
      <c r="C30" s="71">
        <v>1030</v>
      </c>
      <c r="D30" s="71">
        <v>1067</v>
      </c>
      <c r="E30" s="71">
        <v>1604</v>
      </c>
      <c r="F30" s="71">
        <v>1611</v>
      </c>
      <c r="G30" s="71">
        <v>973</v>
      </c>
      <c r="H30" s="71">
        <v>1013</v>
      </c>
      <c r="I30" s="71">
        <v>894</v>
      </c>
      <c r="J30" s="71">
        <v>921</v>
      </c>
      <c r="K30" s="71">
        <v>965</v>
      </c>
      <c r="L30" s="71">
        <v>938</v>
      </c>
      <c r="M30" s="118"/>
      <c r="N30" s="119"/>
      <c r="O30" s="119"/>
      <c r="P30" s="119"/>
      <c r="Q30" s="119"/>
      <c r="R30" s="68"/>
      <c r="S30" s="68"/>
      <c r="T30" s="68"/>
      <c r="U30" s="68"/>
      <c r="V30" s="68"/>
      <c r="W30" s="105"/>
      <c r="X30" s="109"/>
      <c r="Y30" s="109"/>
    </row>
    <row r="31" spans="1:25" ht="17.25" customHeight="1">
      <c r="A31" s="114" t="s">
        <v>77</v>
      </c>
      <c r="B31" s="112" t="s">
        <v>75</v>
      </c>
      <c r="C31" s="71">
        <v>757</v>
      </c>
      <c r="D31" s="71">
        <v>864</v>
      </c>
      <c r="E31" s="71">
        <v>1112</v>
      </c>
      <c r="F31" s="71">
        <v>1248</v>
      </c>
      <c r="G31" s="71">
        <v>713</v>
      </c>
      <c r="H31" s="71">
        <v>820</v>
      </c>
      <c r="I31" s="71">
        <v>667</v>
      </c>
      <c r="J31" s="71">
        <v>694</v>
      </c>
      <c r="K31" s="71">
        <v>796</v>
      </c>
      <c r="L31" s="71">
        <v>769</v>
      </c>
      <c r="M31" s="119"/>
      <c r="N31" s="119"/>
      <c r="O31" s="119"/>
      <c r="P31" s="119"/>
      <c r="Q31" s="119"/>
      <c r="R31" s="4"/>
      <c r="S31" s="4"/>
      <c r="T31" s="4"/>
      <c r="U31" s="4"/>
      <c r="V31" s="4"/>
      <c r="W31" s="4"/>
      <c r="X31" s="109"/>
      <c r="Y31" s="109"/>
    </row>
    <row r="32" spans="1:25" ht="12.75">
      <c r="A32" s="121" t="s">
        <v>64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4"/>
      <c r="Q32" s="4"/>
      <c r="R32" s="4"/>
      <c r="S32" s="4"/>
      <c r="T32" s="4"/>
      <c r="U32" s="4"/>
      <c r="V32" s="4"/>
      <c r="W32" s="4"/>
      <c r="X32" s="109"/>
      <c r="Y32" s="109"/>
    </row>
  </sheetData>
  <sheetProtection selectLockedCells="1" selectUnlockedCells="1"/>
  <mergeCells count="29">
    <mergeCell ref="A1:O1"/>
    <mergeCell ref="A2:O2"/>
    <mergeCell ref="A5:O5"/>
    <mergeCell ref="A6:O6"/>
    <mergeCell ref="E7:G7"/>
    <mergeCell ref="A8:N8"/>
    <mergeCell ref="E9:F9"/>
    <mergeCell ref="A10:N10"/>
    <mergeCell ref="A11:N11"/>
    <mergeCell ref="A12:N12"/>
    <mergeCell ref="E13:J13"/>
    <mergeCell ref="K13:O13"/>
    <mergeCell ref="A14:N14"/>
    <mergeCell ref="A15:N15"/>
    <mergeCell ref="A16:N16"/>
    <mergeCell ref="A17:B17"/>
    <mergeCell ref="A20:N20"/>
    <mergeCell ref="A21:N21"/>
    <mergeCell ref="A22:B22"/>
    <mergeCell ref="B23:B24"/>
    <mergeCell ref="C23:C24"/>
    <mergeCell ref="D23:D24"/>
    <mergeCell ref="E23:E24"/>
    <mergeCell ref="F23:F24"/>
    <mergeCell ref="G23:G24"/>
    <mergeCell ref="A26:N26"/>
    <mergeCell ref="A27:N27"/>
    <mergeCell ref="A28:B28"/>
    <mergeCell ref="A32:N32"/>
  </mergeCells>
  <printOptions/>
  <pageMargins left="0.1701388888888889" right="0.1597222222222222" top="0.2701388888888889" bottom="0.25972222222222224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G79"/>
  <sheetViews>
    <sheetView workbookViewId="0" topLeftCell="A73">
      <pane ySplit="65535" topLeftCell="A73" activePane="topLeft" state="split"/>
      <selection pane="topLeft" activeCell="A80" sqref="A80"/>
      <selection pane="bottomLeft" activeCell="A73" sqref="A73"/>
    </sheetView>
  </sheetViews>
  <sheetFormatPr defaultColWidth="9.33203125" defaultRowHeight="11.25"/>
  <cols>
    <col min="1" max="1" width="19" style="1" customWidth="1"/>
    <col min="2" max="2" width="6" style="1" customWidth="1"/>
    <col min="3" max="3" width="11" style="1" customWidth="1"/>
    <col min="4" max="4" width="11.5" style="1" customWidth="1"/>
    <col min="5" max="5" width="11" style="1" customWidth="1"/>
    <col min="6" max="6" width="11.66015625" style="1" customWidth="1"/>
    <col min="7" max="7" width="9" style="1" customWidth="1"/>
    <col min="8" max="8" width="11.5" style="1" customWidth="1"/>
    <col min="9" max="9" width="10" style="1" customWidth="1"/>
    <col min="10" max="10" width="11" style="1" customWidth="1"/>
    <col min="11" max="11" width="16.5" style="1" customWidth="1"/>
    <col min="12" max="16384" width="9" style="1" customWidth="1"/>
  </cols>
  <sheetData>
    <row r="1" spans="1:241" s="3" customFormat="1" ht="19.5" customHeight="1">
      <c r="A1" s="3" t="s">
        <v>0</v>
      </c>
      <c r="L1" s="96"/>
      <c r="M1" s="96"/>
      <c r="N1" s="96"/>
      <c r="O1" s="96"/>
      <c r="P1" s="96"/>
      <c r="Q1" s="3" t="s">
        <v>0</v>
      </c>
      <c r="AG1" s="3" t="s">
        <v>0</v>
      </c>
      <c r="AW1" s="3" t="s">
        <v>0</v>
      </c>
      <c r="BM1" s="3" t="s">
        <v>0</v>
      </c>
      <c r="CC1" s="3" t="s">
        <v>0</v>
      </c>
      <c r="CS1" s="3" t="s">
        <v>0</v>
      </c>
      <c r="DI1" s="3" t="s">
        <v>0</v>
      </c>
      <c r="DY1" s="3" t="s">
        <v>0</v>
      </c>
      <c r="EO1" s="3" t="s">
        <v>0</v>
      </c>
      <c r="FE1" s="3" t="s">
        <v>0</v>
      </c>
      <c r="FU1" s="3" t="s">
        <v>0</v>
      </c>
      <c r="GK1" s="3" t="s">
        <v>0</v>
      </c>
      <c r="HA1" s="3" t="s">
        <v>0</v>
      </c>
      <c r="HQ1" s="3" t="s">
        <v>0</v>
      </c>
      <c r="IG1" s="3" t="s">
        <v>0</v>
      </c>
    </row>
    <row r="2" spans="1:23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0"/>
      <c r="M2" s="50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>
      <c r="A4" s="52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23"/>
      <c r="O4" s="123"/>
      <c r="P4" s="123"/>
      <c r="Q4" s="2"/>
      <c r="R4" s="2"/>
      <c r="S4" s="2"/>
      <c r="T4" s="2"/>
      <c r="U4" s="2"/>
      <c r="V4" s="2"/>
      <c r="W4" s="2"/>
    </row>
    <row r="5" spans="1:23" ht="28.5" customHeight="1">
      <c r="A5" s="54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5"/>
      <c r="N5" s="53"/>
      <c r="O5" s="53"/>
      <c r="P5" s="53"/>
      <c r="Q5" s="2"/>
      <c r="R5" s="2"/>
      <c r="S5" s="2"/>
      <c r="T5" s="2"/>
      <c r="U5" s="2"/>
      <c r="V5" s="2"/>
      <c r="W5" s="2"/>
    </row>
    <row r="6" spans="1:23" ht="26.2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123"/>
      <c r="O6" s="123"/>
      <c r="P6" s="123"/>
      <c r="Q6" s="2"/>
      <c r="R6" s="2"/>
      <c r="S6" s="2"/>
      <c r="T6" s="2"/>
      <c r="U6" s="2"/>
      <c r="V6" s="2"/>
      <c r="W6" s="2"/>
    </row>
    <row r="7" spans="1:23" ht="15.75">
      <c r="A7" s="59" t="s">
        <v>87</v>
      </c>
      <c r="B7" s="59"/>
      <c r="C7" s="59"/>
      <c r="D7" s="59"/>
      <c r="E7" s="62" t="s">
        <v>88</v>
      </c>
      <c r="F7" s="62"/>
      <c r="G7" s="59"/>
      <c r="H7" s="59"/>
      <c r="I7" s="59"/>
      <c r="J7" s="59"/>
      <c r="K7" s="59"/>
      <c r="L7" s="59"/>
      <c r="M7" s="59"/>
      <c r="N7" s="59"/>
      <c r="O7" s="59"/>
      <c r="P7" s="59"/>
      <c r="Q7" s="2"/>
      <c r="R7" s="2"/>
      <c r="S7" s="2"/>
      <c r="T7" s="2"/>
      <c r="U7" s="2"/>
      <c r="V7" s="2"/>
      <c r="W7" s="2"/>
    </row>
    <row r="8" spans="1:23" s="125" customFormat="1" ht="16.5" customHeight="1">
      <c r="A8" s="60" t="s">
        <v>118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  <row r="9" spans="1:23" s="125" customFormat="1" ht="12" customHeight="1">
      <c r="A9" s="124"/>
      <c r="B9" s="126"/>
      <c r="C9" s="126"/>
      <c r="D9" s="126"/>
      <c r="E9" s="58" t="s">
        <v>57</v>
      </c>
      <c r="F9" s="58"/>
      <c r="G9" s="126"/>
      <c r="H9" s="126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</row>
    <row r="10" spans="1:23" s="125" customFormat="1" ht="33.75" customHeight="1">
      <c r="A10" s="127" t="s">
        <v>119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</row>
    <row r="11" spans="1:23" s="125" customFormat="1" ht="15.75">
      <c r="A11" s="60" t="s">
        <v>120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</row>
    <row r="12" spans="1:23" s="125" customFormat="1" ht="15.75">
      <c r="A12" s="60" t="s">
        <v>121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125" customFormat="1" ht="15.75">
      <c r="A13" s="60" t="s">
        <v>122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29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</row>
    <row r="14" spans="1:23" s="125" customFormat="1" ht="15.75">
      <c r="A14" s="60" t="s">
        <v>123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</row>
    <row r="15" spans="1:23" s="125" customFormat="1" ht="15.75">
      <c r="A15" s="60" t="s">
        <v>124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</row>
    <row r="16" spans="1:23" s="125" customFormat="1" ht="15.75" customHeight="1">
      <c r="A16" s="128" t="s">
        <v>125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23" s="125" customFormat="1" ht="15.75" customHeight="1">
      <c r="A17" s="60" t="s">
        <v>126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</row>
    <row r="18" spans="1:23" s="125" customFormat="1" ht="15.75" customHeight="1">
      <c r="A18" s="60" t="s">
        <v>127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</row>
    <row r="19" spans="1:23" ht="15.75" customHeight="1">
      <c r="A19" s="58" t="s">
        <v>60</v>
      </c>
      <c r="B19" s="58"/>
      <c r="C19" s="58"/>
      <c r="D19" s="60" t="s">
        <v>61</v>
      </c>
      <c r="E19" s="60"/>
      <c r="F19" s="60"/>
      <c r="G19" s="60"/>
      <c r="H19" s="129" t="s">
        <v>128</v>
      </c>
      <c r="I19" s="129"/>
      <c r="J19" s="129"/>
      <c r="K19" s="129"/>
      <c r="L19" s="59"/>
      <c r="M19" s="59"/>
      <c r="N19" s="59"/>
      <c r="O19" s="59"/>
      <c r="P19" s="62"/>
      <c r="Q19" s="2"/>
      <c r="R19" s="2"/>
      <c r="S19" s="2"/>
      <c r="T19" s="2"/>
      <c r="U19" s="2"/>
      <c r="V19" s="2"/>
      <c r="W19" s="2"/>
    </row>
    <row r="20" spans="1:23" ht="15.75">
      <c r="A20" s="60" t="s">
        <v>62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29"/>
      <c r="M20" s="29"/>
      <c r="N20" s="29"/>
      <c r="O20" s="29"/>
      <c r="P20" s="29"/>
      <c r="Q20" s="2"/>
      <c r="R20" s="2"/>
      <c r="S20" s="2"/>
      <c r="T20" s="2"/>
      <c r="U20" s="2"/>
      <c r="V20" s="2"/>
      <c r="W20" s="2"/>
    </row>
    <row r="21" spans="1:23" ht="15.75">
      <c r="A21" s="60" t="s">
        <v>129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29"/>
      <c r="M21" s="29"/>
      <c r="N21" s="29"/>
      <c r="O21" s="29"/>
      <c r="P21" s="29"/>
      <c r="Q21" s="2"/>
      <c r="R21" s="2"/>
      <c r="S21" s="2"/>
      <c r="T21" s="2"/>
      <c r="U21" s="2"/>
      <c r="V21" s="2"/>
      <c r="W21" s="2"/>
    </row>
    <row r="22" spans="1:23" ht="18.75" customHeight="1">
      <c r="A22" s="130" t="s">
        <v>130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4" ht="36.75" customHeight="1">
      <c r="A23" s="131" t="s">
        <v>66</v>
      </c>
      <c r="B23" s="131"/>
      <c r="C23" s="132" t="s">
        <v>67</v>
      </c>
      <c r="D23" s="132" t="s">
        <v>131</v>
      </c>
      <c r="E23" s="132" t="s">
        <v>69</v>
      </c>
      <c r="F23" s="132" t="s">
        <v>132</v>
      </c>
      <c r="G23" s="132" t="s">
        <v>133</v>
      </c>
      <c r="H23" s="132" t="s">
        <v>134</v>
      </c>
      <c r="I23" s="132" t="s">
        <v>135</v>
      </c>
      <c r="J23" s="132" t="s">
        <v>136</v>
      </c>
      <c r="K23" s="132" t="s">
        <v>137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81"/>
    </row>
    <row r="24" spans="1:24" ht="13.5" customHeight="1">
      <c r="A24" s="134" t="s">
        <v>109</v>
      </c>
      <c r="B24" s="70" t="s">
        <v>75</v>
      </c>
      <c r="C24" s="71">
        <v>877</v>
      </c>
      <c r="D24" s="71">
        <v>940</v>
      </c>
      <c r="E24" s="71">
        <v>1355</v>
      </c>
      <c r="F24" s="71">
        <v>1418</v>
      </c>
      <c r="G24" s="71">
        <v>752</v>
      </c>
      <c r="H24" s="71">
        <v>815</v>
      </c>
      <c r="I24" s="71">
        <v>701</v>
      </c>
      <c r="J24" s="71">
        <v>754</v>
      </c>
      <c r="K24" s="71">
        <v>764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81"/>
    </row>
    <row r="25" spans="1:24" ht="13.5" customHeight="1">
      <c r="A25" s="135" t="s">
        <v>110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81"/>
    </row>
    <row r="26" spans="1:24" ht="15.75" customHeight="1">
      <c r="A26" s="75" t="s">
        <v>111</v>
      </c>
      <c r="B26" s="70" t="s">
        <v>75</v>
      </c>
      <c r="C26" s="71">
        <v>896</v>
      </c>
      <c r="D26" s="71">
        <v>959</v>
      </c>
      <c r="E26" s="71">
        <v>1388</v>
      </c>
      <c r="F26" s="71">
        <v>1451</v>
      </c>
      <c r="G26" s="71">
        <v>769</v>
      </c>
      <c r="H26" s="71">
        <v>832</v>
      </c>
      <c r="I26" s="71">
        <v>714</v>
      </c>
      <c r="J26" s="71">
        <v>767</v>
      </c>
      <c r="K26" s="71">
        <v>777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81"/>
    </row>
    <row r="27" spans="1:24" ht="15" customHeight="1">
      <c r="A27" s="136" t="s">
        <v>138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81"/>
    </row>
    <row r="28" spans="1:24" ht="1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81"/>
    </row>
    <row r="29" spans="1:24" ht="21.75" customHeight="1">
      <c r="A29" s="138" t="s">
        <v>139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81"/>
    </row>
    <row r="30" spans="1:24" ht="36" customHeight="1">
      <c r="A30" s="131" t="s">
        <v>66</v>
      </c>
      <c r="B30" s="131"/>
      <c r="C30" s="132" t="s">
        <v>79</v>
      </c>
      <c r="D30" s="132" t="s">
        <v>140</v>
      </c>
      <c r="E30" s="132" t="s">
        <v>141</v>
      </c>
      <c r="F30" s="132" t="s">
        <v>132</v>
      </c>
      <c r="G30" s="132" t="s">
        <v>142</v>
      </c>
      <c r="H30" s="132" t="s">
        <v>143</v>
      </c>
      <c r="I30" s="132" t="s">
        <v>144</v>
      </c>
      <c r="J30" s="132" t="s">
        <v>145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81"/>
    </row>
    <row r="31" spans="1:24" ht="17.25" customHeight="1">
      <c r="A31" s="75" t="s">
        <v>109</v>
      </c>
      <c r="B31" s="112" t="s">
        <v>75</v>
      </c>
      <c r="C31" s="71">
        <v>884</v>
      </c>
      <c r="D31" s="71">
        <v>916</v>
      </c>
      <c r="E31" s="71">
        <v>1391</v>
      </c>
      <c r="F31" s="71">
        <v>1445</v>
      </c>
      <c r="G31" s="71">
        <v>770</v>
      </c>
      <c r="H31" s="71">
        <v>800</v>
      </c>
      <c r="I31" s="71">
        <v>744</v>
      </c>
      <c r="J31" s="71">
        <v>770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81"/>
    </row>
    <row r="32" spans="1:24" ht="15.75">
      <c r="A32" s="69">
        <v>40903</v>
      </c>
      <c r="B32" s="112" t="s">
        <v>75</v>
      </c>
      <c r="C32" s="71">
        <v>1111</v>
      </c>
      <c r="D32" s="71">
        <v>1072</v>
      </c>
      <c r="E32" s="71">
        <v>1796</v>
      </c>
      <c r="F32" s="71">
        <v>1727</v>
      </c>
      <c r="G32" s="71">
        <v>984</v>
      </c>
      <c r="H32" s="71">
        <v>948</v>
      </c>
      <c r="I32" s="71">
        <v>932</v>
      </c>
      <c r="J32" s="71">
        <v>900</v>
      </c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81"/>
    </row>
    <row r="33" spans="1:23" ht="15" customHeight="1">
      <c r="A33" s="75" t="s">
        <v>77</v>
      </c>
      <c r="B33" s="112" t="s">
        <v>75</v>
      </c>
      <c r="C33" s="71">
        <v>838</v>
      </c>
      <c r="D33" s="71">
        <v>869</v>
      </c>
      <c r="E33" s="71">
        <v>1304</v>
      </c>
      <c r="F33" s="71">
        <v>1364</v>
      </c>
      <c r="G33" s="71">
        <v>724</v>
      </c>
      <c r="H33" s="71">
        <v>755</v>
      </c>
      <c r="I33" s="71">
        <v>705</v>
      </c>
      <c r="J33" s="71">
        <v>731</v>
      </c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</row>
    <row r="34" spans="1:23" ht="15" customHeight="1">
      <c r="A34" s="115" t="s">
        <v>64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</row>
    <row r="35" spans="1:23" ht="1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</row>
    <row r="36" spans="1:24" ht="20.25" customHeight="1">
      <c r="A36" s="110" t="s">
        <v>146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ht="39" customHeight="1">
      <c r="A37" s="131" t="s">
        <v>66</v>
      </c>
      <c r="B37" s="131"/>
      <c r="C37" s="132" t="s">
        <v>140</v>
      </c>
      <c r="D37" s="132" t="s">
        <v>132</v>
      </c>
      <c r="E37" s="132" t="s">
        <v>143</v>
      </c>
      <c r="F37" s="132" t="s">
        <v>147</v>
      </c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ht="18.75" customHeight="1">
      <c r="A38" s="75" t="s">
        <v>148</v>
      </c>
      <c r="B38" s="112" t="s">
        <v>75</v>
      </c>
      <c r="C38" s="71">
        <v>916</v>
      </c>
      <c r="D38" s="71">
        <v>1400</v>
      </c>
      <c r="E38" s="71">
        <v>799</v>
      </c>
      <c r="F38" s="71">
        <v>779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ht="12.75" customHeight="1">
      <c r="A39" s="115" t="s">
        <v>64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ht="12.75">
      <c r="A40" s="133"/>
      <c r="B40" s="133"/>
      <c r="C40" s="133"/>
      <c r="D40" s="133"/>
      <c r="E40" s="133"/>
      <c r="F40" s="133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4" ht="33" customHeight="1">
      <c r="A41" s="141" t="s">
        <v>149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ht="36.75" customHeight="1">
      <c r="A42" s="131" t="s">
        <v>66</v>
      </c>
      <c r="B42" s="131"/>
      <c r="C42" s="142" t="s">
        <v>140</v>
      </c>
      <c r="D42" s="142" t="s">
        <v>132</v>
      </c>
      <c r="E42" s="142" t="s">
        <v>143</v>
      </c>
      <c r="F42" s="142" t="s">
        <v>150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ht="15" customHeight="1">
      <c r="A43" s="134" t="s">
        <v>109</v>
      </c>
      <c r="B43" s="112" t="s">
        <v>75</v>
      </c>
      <c r="C43" s="143">
        <v>911</v>
      </c>
      <c r="D43" s="143">
        <v>1418</v>
      </c>
      <c r="E43" s="143">
        <v>799</v>
      </c>
      <c r="F43" s="143">
        <v>747</v>
      </c>
      <c r="G43" s="140"/>
      <c r="H43" s="144"/>
      <c r="I43" s="144"/>
      <c r="J43" s="144"/>
      <c r="K43" s="144"/>
      <c r="L43" s="144"/>
      <c r="M43" s="144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1:24" ht="15" customHeight="1">
      <c r="A44" s="135" t="s">
        <v>110</v>
      </c>
      <c r="B44" s="112"/>
      <c r="C44" s="143"/>
      <c r="D44" s="143"/>
      <c r="E44" s="143"/>
      <c r="F44" s="143"/>
      <c r="G44" s="140"/>
      <c r="H44" s="144"/>
      <c r="I44" s="144"/>
      <c r="J44" s="144"/>
      <c r="K44" s="144"/>
      <c r="L44" s="144"/>
      <c r="M44" s="144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1:24" ht="15.75">
      <c r="A45" s="69">
        <v>40903</v>
      </c>
      <c r="B45" s="112" t="s">
        <v>75</v>
      </c>
      <c r="C45" s="143">
        <v>1006</v>
      </c>
      <c r="D45" s="143">
        <v>1607</v>
      </c>
      <c r="E45" s="143">
        <v>879</v>
      </c>
      <c r="F45" s="143">
        <v>811</v>
      </c>
      <c r="G45" s="140"/>
      <c r="H45" s="144"/>
      <c r="I45" s="144"/>
      <c r="J45" s="144"/>
      <c r="K45" s="144"/>
      <c r="L45" s="144"/>
      <c r="M45" s="144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1:24" ht="15.75">
      <c r="A46" s="69">
        <v>40910</v>
      </c>
      <c r="B46" s="112" t="s">
        <v>75</v>
      </c>
      <c r="C46" s="143">
        <v>920</v>
      </c>
      <c r="D46" s="143">
        <v>1436</v>
      </c>
      <c r="E46" s="143">
        <v>807</v>
      </c>
      <c r="F46" s="143">
        <v>753</v>
      </c>
      <c r="G46" s="140"/>
      <c r="H46" s="144"/>
      <c r="I46" s="144"/>
      <c r="J46" s="144"/>
      <c r="K46" s="144"/>
      <c r="L46" s="144"/>
      <c r="M46" s="144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</row>
    <row r="47" spans="1:24" ht="12.75" customHeight="1">
      <c r="A47" s="115" t="s">
        <v>64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 ht="12.75">
      <c r="A48" s="144"/>
      <c r="B48" s="73"/>
      <c r="C48" s="74"/>
      <c r="D48" s="74"/>
      <c r="E48" s="74"/>
      <c r="F48" s="74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</row>
    <row r="49" spans="1:24" ht="21.75" customHeight="1">
      <c r="A49" s="63" t="s">
        <v>151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</row>
    <row r="50" spans="1:24" ht="38.25" customHeight="1">
      <c r="A50" s="131" t="s">
        <v>66</v>
      </c>
      <c r="B50" s="131"/>
      <c r="C50" s="132" t="s">
        <v>152</v>
      </c>
      <c r="D50" s="132" t="s">
        <v>153</v>
      </c>
      <c r="E50" s="132" t="s">
        <v>154</v>
      </c>
      <c r="F50" s="132" t="s">
        <v>155</v>
      </c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</row>
    <row r="51" spans="1:24" ht="18" customHeight="1">
      <c r="A51" s="75" t="s">
        <v>156</v>
      </c>
      <c r="B51" s="112" t="s">
        <v>75</v>
      </c>
      <c r="C51" s="145">
        <f>981-46</f>
        <v>935</v>
      </c>
      <c r="D51" s="145">
        <f>1500-46</f>
        <v>1454</v>
      </c>
      <c r="E51" s="145">
        <f>864-46</f>
        <v>818</v>
      </c>
      <c r="F51" s="145">
        <f>786-46</f>
        <v>740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</row>
    <row r="52" spans="1:24" ht="12.75" customHeight="1">
      <c r="A52" s="146" t="s">
        <v>64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</row>
    <row r="53" spans="1:24" ht="12.75">
      <c r="A53" s="144"/>
      <c r="B53" s="73"/>
      <c r="C53" s="74"/>
      <c r="D53" s="74"/>
      <c r="E53" s="74"/>
      <c r="F53" s="74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</row>
    <row r="54" spans="1:24" ht="21" customHeight="1">
      <c r="A54" s="63" t="s">
        <v>157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</row>
    <row r="55" spans="1:24" ht="35.25" customHeight="1">
      <c r="A55" s="131" t="s">
        <v>66</v>
      </c>
      <c r="B55" s="131"/>
      <c r="C55" s="132" t="s">
        <v>140</v>
      </c>
      <c r="D55" s="132" t="s">
        <v>132</v>
      </c>
      <c r="E55" s="132" t="s">
        <v>143</v>
      </c>
      <c r="F55" s="132" t="s">
        <v>158</v>
      </c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</row>
    <row r="56" spans="1:24" ht="15" customHeight="1">
      <c r="A56" s="134" t="s">
        <v>109</v>
      </c>
      <c r="B56" s="112" t="s">
        <v>75</v>
      </c>
      <c r="C56" s="145">
        <f>1001-46</f>
        <v>955</v>
      </c>
      <c r="D56" s="145">
        <f>1536-46</f>
        <v>1490</v>
      </c>
      <c r="E56" s="145">
        <f>883-46</f>
        <v>837</v>
      </c>
      <c r="F56" s="145">
        <f>799-46</f>
        <v>753</v>
      </c>
      <c r="G56" s="140"/>
      <c r="H56" s="147"/>
      <c r="I56" s="147"/>
      <c r="J56" s="147"/>
      <c r="K56" s="147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</row>
    <row r="57" spans="1:24" ht="15" customHeight="1">
      <c r="A57" s="135" t="s">
        <v>110</v>
      </c>
      <c r="B57" s="112"/>
      <c r="C57" s="145"/>
      <c r="D57" s="145"/>
      <c r="E57" s="145"/>
      <c r="F57" s="145"/>
      <c r="G57" s="140"/>
      <c r="H57" s="147"/>
      <c r="I57" s="147"/>
      <c r="J57" s="147"/>
      <c r="K57" s="147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</row>
    <row r="58" spans="1:24" ht="17.25" customHeight="1">
      <c r="A58" s="75" t="s">
        <v>111</v>
      </c>
      <c r="B58" s="112" t="s">
        <v>75</v>
      </c>
      <c r="C58" s="145">
        <f>1020-46</f>
        <v>974</v>
      </c>
      <c r="D58" s="145">
        <f>1566-46</f>
        <v>1520</v>
      </c>
      <c r="E58" s="145">
        <f>901-46</f>
        <v>855</v>
      </c>
      <c r="F58" s="145">
        <f>812-46</f>
        <v>766</v>
      </c>
      <c r="G58" s="140"/>
      <c r="H58" s="147"/>
      <c r="I58" s="147"/>
      <c r="J58" s="147"/>
      <c r="K58" s="147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</row>
    <row r="59" spans="1:24" ht="12.75" customHeight="1">
      <c r="A59" s="146" t="s">
        <v>64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</row>
    <row r="60" spans="1:24" ht="12.75">
      <c r="A60" s="146"/>
      <c r="B60" s="146"/>
      <c r="C60" s="146"/>
      <c r="D60" s="146"/>
      <c r="E60" s="146"/>
      <c r="F60" s="146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</row>
    <row r="61" spans="1:24" ht="23.25" customHeight="1">
      <c r="A61" s="63" t="s">
        <v>159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</row>
    <row r="62" spans="1:24" ht="36" customHeight="1">
      <c r="A62" s="131" t="s">
        <v>66</v>
      </c>
      <c r="B62" s="131"/>
      <c r="C62" s="132" t="s">
        <v>140</v>
      </c>
      <c r="D62" s="132" t="s">
        <v>132</v>
      </c>
      <c r="E62" s="132" t="s">
        <v>143</v>
      </c>
      <c r="F62" s="132" t="s">
        <v>150</v>
      </c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</row>
    <row r="63" spans="1:24" ht="14.25" customHeight="1">
      <c r="A63" s="134" t="s">
        <v>109</v>
      </c>
      <c r="B63" s="112" t="s">
        <v>75</v>
      </c>
      <c r="C63" s="145">
        <f>1008-46</f>
        <v>962</v>
      </c>
      <c r="D63" s="145">
        <f>1575-46</f>
        <v>1529</v>
      </c>
      <c r="E63" s="145">
        <f>880-46</f>
        <v>834</v>
      </c>
      <c r="F63" s="145">
        <f>847-46</f>
        <v>801</v>
      </c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</row>
    <row r="64" spans="1:24" ht="14.25" customHeight="1">
      <c r="A64" s="135" t="s">
        <v>110</v>
      </c>
      <c r="B64" s="112"/>
      <c r="C64" s="145"/>
      <c r="D64" s="145"/>
      <c r="E64" s="145"/>
      <c r="F64" s="145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</row>
    <row r="65" spans="1:24" ht="15.75" customHeight="1">
      <c r="A65" s="75" t="s">
        <v>111</v>
      </c>
      <c r="B65" s="112" t="s">
        <v>75</v>
      </c>
      <c r="C65" s="145">
        <f>1026-46</f>
        <v>980</v>
      </c>
      <c r="D65" s="145">
        <f>1608-46</f>
        <v>1562</v>
      </c>
      <c r="E65" s="145">
        <f>896-46</f>
        <v>850</v>
      </c>
      <c r="F65" s="145">
        <f>859-46</f>
        <v>813</v>
      </c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</row>
    <row r="66" spans="1:24" ht="12.75" customHeight="1">
      <c r="A66" s="115" t="s">
        <v>64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 ht="12.75">
      <c r="A67" s="144"/>
      <c r="B67" s="73"/>
      <c r="C67" s="74"/>
      <c r="D67" s="74"/>
      <c r="E67" s="74"/>
      <c r="F67" s="74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</row>
    <row r="68" spans="1:24" ht="20.25" customHeight="1">
      <c r="A68" s="148" t="s">
        <v>160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</row>
    <row r="69" spans="1:24" ht="36.75" customHeight="1">
      <c r="A69" s="131" t="s">
        <v>66</v>
      </c>
      <c r="B69" s="131"/>
      <c r="C69" s="142" t="s">
        <v>152</v>
      </c>
      <c r="D69" s="142" t="s">
        <v>153</v>
      </c>
      <c r="E69" s="142" t="s">
        <v>154</v>
      </c>
      <c r="F69" s="142" t="s">
        <v>161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</row>
    <row r="70" spans="1:24" ht="14.25" customHeight="1">
      <c r="A70" s="135" t="s">
        <v>111</v>
      </c>
      <c r="B70" s="149" t="s">
        <v>75</v>
      </c>
      <c r="C70" s="150">
        <f>1052-46</f>
        <v>1006</v>
      </c>
      <c r="D70" s="150">
        <f>1683-46</f>
        <v>1637</v>
      </c>
      <c r="E70" s="150">
        <f>952-46</f>
        <v>906</v>
      </c>
      <c r="F70" s="150">
        <f>931-46</f>
        <v>885</v>
      </c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</row>
    <row r="71" spans="1:24" ht="16.5" customHeight="1">
      <c r="A71" s="134" t="s">
        <v>109</v>
      </c>
      <c r="B71" s="151" t="s">
        <v>75</v>
      </c>
      <c r="C71" s="145">
        <f>1017-46</f>
        <v>971</v>
      </c>
      <c r="D71" s="145">
        <f>1623-46</f>
        <v>1577</v>
      </c>
      <c r="E71" s="145">
        <f>918-46</f>
        <v>872</v>
      </c>
      <c r="F71" s="145">
        <f>897-46</f>
        <v>851</v>
      </c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</row>
    <row r="72" spans="1:24" ht="15.75" customHeight="1">
      <c r="A72" s="135" t="s">
        <v>110</v>
      </c>
      <c r="B72" s="151"/>
      <c r="C72" s="145"/>
      <c r="D72" s="145"/>
      <c r="E72" s="145"/>
      <c r="F72" s="145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</row>
    <row r="73" spans="1:24" ht="12.75" customHeight="1">
      <c r="A73" s="115" t="s">
        <v>64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</row>
    <row r="74" spans="1:24" ht="12.75">
      <c r="A74" s="144"/>
      <c r="B74" s="73"/>
      <c r="C74" s="74"/>
      <c r="D74" s="74"/>
      <c r="E74" s="74"/>
      <c r="F74" s="74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</row>
    <row r="75" spans="1:23" ht="20.25" customHeight="1">
      <c r="A75" s="110" t="s">
        <v>162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1:23" ht="37.5" customHeight="1">
      <c r="A76" s="131" t="s">
        <v>66</v>
      </c>
      <c r="B76" s="131"/>
      <c r="C76" s="132" t="s">
        <v>163</v>
      </c>
      <c r="D76" s="132" t="s">
        <v>164</v>
      </c>
      <c r="E76" s="132" t="s">
        <v>141</v>
      </c>
      <c r="F76" s="132" t="s">
        <v>165</v>
      </c>
      <c r="G76" s="132" t="s">
        <v>142</v>
      </c>
      <c r="H76" s="132" t="s">
        <v>166</v>
      </c>
      <c r="I76" s="132" t="s">
        <v>167</v>
      </c>
      <c r="J76" s="132" t="s">
        <v>168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1:23" ht="15.75" customHeight="1">
      <c r="A77" s="75" t="s">
        <v>106</v>
      </c>
      <c r="B77" s="151" t="s">
        <v>75</v>
      </c>
      <c r="C77" s="145">
        <f>1058-46</f>
        <v>1012</v>
      </c>
      <c r="D77" s="145">
        <f>1196-46</f>
        <v>1150</v>
      </c>
      <c r="E77" s="145">
        <f>1632-46</f>
        <v>1586</v>
      </c>
      <c r="F77" s="145">
        <f>1770-46</f>
        <v>1724</v>
      </c>
      <c r="G77" s="145">
        <f>930-46</f>
        <v>884</v>
      </c>
      <c r="H77" s="145">
        <f>1068-46</f>
        <v>1022</v>
      </c>
      <c r="I77" s="145">
        <f>870-46</f>
        <v>824</v>
      </c>
      <c r="J77" s="145">
        <f>986-46</f>
        <v>940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1:23" ht="16.5" customHeight="1">
      <c r="A78" s="75" t="s">
        <v>77</v>
      </c>
      <c r="B78" s="151" t="s">
        <v>75</v>
      </c>
      <c r="C78" s="145">
        <f>1014-46</f>
        <v>968</v>
      </c>
      <c r="D78" s="145">
        <f>1152-46</f>
        <v>1106</v>
      </c>
      <c r="E78" s="145">
        <f>1557-46</f>
        <v>1511</v>
      </c>
      <c r="F78" s="145">
        <f>1695-46</f>
        <v>1649</v>
      </c>
      <c r="G78" s="145">
        <f>889-46</f>
        <v>843</v>
      </c>
      <c r="H78" s="145">
        <f>1027-46</f>
        <v>981</v>
      </c>
      <c r="I78" s="145">
        <f>838-46</f>
        <v>792</v>
      </c>
      <c r="J78" s="145">
        <f>954-46</f>
        <v>908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  <row r="79" spans="1:22" ht="12.75">
      <c r="A79" s="152" t="s">
        <v>64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</row>
  </sheetData>
  <sheetProtection selectLockedCells="1" selectUnlockedCells="1"/>
  <mergeCells count="95">
    <mergeCell ref="A1:K1"/>
    <mergeCell ref="Q1:AF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2:K2"/>
    <mergeCell ref="A5:K5"/>
    <mergeCell ref="A6:K6"/>
    <mergeCell ref="E7:F7"/>
    <mergeCell ref="A8:K8"/>
    <mergeCell ref="E9:F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C19"/>
    <mergeCell ref="D19:G19"/>
    <mergeCell ref="H19:K19"/>
    <mergeCell ref="A20:K20"/>
    <mergeCell ref="A21:K21"/>
    <mergeCell ref="A22:K22"/>
    <mergeCell ref="A23:B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7:K27"/>
    <mergeCell ref="A29:K29"/>
    <mergeCell ref="A30:B30"/>
    <mergeCell ref="A34:K34"/>
    <mergeCell ref="A36:K36"/>
    <mergeCell ref="A37:B37"/>
    <mergeCell ref="A39:K39"/>
    <mergeCell ref="A40:F40"/>
    <mergeCell ref="A41:K41"/>
    <mergeCell ref="A42:B42"/>
    <mergeCell ref="B43:B44"/>
    <mergeCell ref="C43:C44"/>
    <mergeCell ref="D43:D44"/>
    <mergeCell ref="E43:E44"/>
    <mergeCell ref="F43:F44"/>
    <mergeCell ref="H43:M46"/>
    <mergeCell ref="A47:K47"/>
    <mergeCell ref="A49:K49"/>
    <mergeCell ref="A50:B50"/>
    <mergeCell ref="A52:K52"/>
    <mergeCell ref="A54:K54"/>
    <mergeCell ref="A55:B55"/>
    <mergeCell ref="B56:B57"/>
    <mergeCell ref="C56:C57"/>
    <mergeCell ref="D56:D57"/>
    <mergeCell ref="E56:E57"/>
    <mergeCell ref="F56:F57"/>
    <mergeCell ref="A59:K59"/>
    <mergeCell ref="A61:K61"/>
    <mergeCell ref="A62:B62"/>
    <mergeCell ref="B63:B64"/>
    <mergeCell ref="C63:C64"/>
    <mergeCell ref="D63:D64"/>
    <mergeCell ref="E63:E64"/>
    <mergeCell ref="F63:F64"/>
    <mergeCell ref="A66:K66"/>
    <mergeCell ref="A68:K68"/>
    <mergeCell ref="A69:B69"/>
    <mergeCell ref="B71:B72"/>
    <mergeCell ref="C71:C72"/>
    <mergeCell ref="D71:D72"/>
    <mergeCell ref="E71:E72"/>
    <mergeCell ref="F71:F72"/>
    <mergeCell ref="A73:K73"/>
    <mergeCell ref="A75:K75"/>
    <mergeCell ref="A76:B76"/>
    <mergeCell ref="A79:K79"/>
  </mergeCells>
  <printOptions/>
  <pageMargins left="0.1701388888888889" right="0.1597222222222222" top="0.24027777777777778" bottom="0.2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Y198"/>
  <sheetViews>
    <sheetView showGridLines="0" workbookViewId="0" topLeftCell="A281">
      <pane ySplit="65535" topLeftCell="A281" activePane="topLeft" state="split"/>
      <selection pane="topLeft" activeCell="A201" sqref="A201"/>
      <selection pane="bottomLeft" activeCell="A281" sqref="A281"/>
    </sheetView>
  </sheetViews>
  <sheetFormatPr defaultColWidth="9.33203125" defaultRowHeight="13.5" customHeight="1"/>
  <cols>
    <col min="1" max="1" width="17.83203125" style="1" customWidth="1"/>
    <col min="2" max="2" width="4.5" style="1" customWidth="1"/>
    <col min="3" max="3" width="11" style="1" customWidth="1"/>
    <col min="4" max="4" width="10.33203125" style="1" customWidth="1"/>
    <col min="5" max="5" width="11.33203125" style="1" customWidth="1"/>
    <col min="6" max="6" width="10.16015625" style="1" customWidth="1"/>
    <col min="7" max="8" width="11" style="1" customWidth="1"/>
    <col min="9" max="9" width="10.33203125" style="1" customWidth="1"/>
    <col min="10" max="10" width="11" style="1" customWidth="1"/>
    <col min="11" max="12" width="9.83203125" style="1" customWidth="1"/>
    <col min="13" max="13" width="10.33203125" style="1" customWidth="1"/>
    <col min="14" max="14" width="11" style="1" customWidth="1"/>
    <col min="15" max="15" width="10.66015625" style="1" customWidth="1"/>
    <col min="16" max="16" width="10" style="1" customWidth="1"/>
    <col min="17" max="17" width="10.33203125" style="1" customWidth="1"/>
    <col min="18" max="25" width="9.5" style="1" customWidth="1"/>
    <col min="26" max="16384" width="9" style="1" customWidth="1"/>
  </cols>
  <sheetData>
    <row r="1" spans="1:12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0"/>
      <c r="N2" s="50"/>
    </row>
    <row r="3" spans="1:25" ht="18.75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5" ht="18.75">
      <c r="A4" s="52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ht="21.75" customHeight="1">
      <c r="A5" s="54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  <c r="O5" s="153"/>
      <c r="P5" s="153"/>
      <c r="Q5" s="154"/>
      <c r="R5" s="154"/>
      <c r="S5" s="154"/>
      <c r="T5" s="154"/>
      <c r="U5" s="154"/>
      <c r="V5" s="154"/>
      <c r="W5" s="154"/>
      <c r="X5" s="154"/>
      <c r="Y5" s="154"/>
    </row>
    <row r="6" spans="1:25" ht="30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57"/>
      <c r="O6" s="109"/>
      <c r="P6" s="109"/>
      <c r="Q6" s="81"/>
      <c r="R6" s="81"/>
      <c r="S6" s="81"/>
      <c r="T6" s="81"/>
      <c r="U6" s="81"/>
      <c r="V6" s="81"/>
      <c r="W6" s="81"/>
      <c r="X6" s="81"/>
      <c r="Y6" s="81"/>
    </row>
    <row r="7" spans="1:25" ht="15.75" customHeight="1">
      <c r="A7" s="155" t="s">
        <v>87</v>
      </c>
      <c r="B7" s="155"/>
      <c r="C7" s="155"/>
      <c r="D7" s="155"/>
      <c r="E7" s="155" t="s">
        <v>88</v>
      </c>
      <c r="F7" s="155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09"/>
      <c r="R7" s="109"/>
      <c r="S7" s="109"/>
      <c r="T7" s="109"/>
      <c r="U7" s="109"/>
      <c r="V7" s="109"/>
      <c r="W7" s="109"/>
      <c r="X7" s="109"/>
      <c r="Y7" s="109"/>
    </row>
    <row r="8" spans="1:14" ht="15.75">
      <c r="A8" s="157" t="s">
        <v>169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  <c r="N8" s="158"/>
    </row>
    <row r="9" spans="2:17" ht="15.75" customHeight="1">
      <c r="B9" s="159"/>
      <c r="C9" s="159"/>
      <c r="E9" s="160" t="s">
        <v>57</v>
      </c>
      <c r="F9" s="160"/>
      <c r="G9" s="160"/>
      <c r="Q9" s="161"/>
    </row>
    <row r="10" spans="1:17" s="125" customFormat="1" ht="34.5" customHeight="1">
      <c r="A10" s="162" t="s">
        <v>170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58"/>
      <c r="N10" s="158"/>
      <c r="Q10" s="161"/>
    </row>
    <row r="11" spans="1:17" s="125" customFormat="1" ht="15.75">
      <c r="A11" s="157" t="s">
        <v>171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63"/>
      <c r="N11" s="163"/>
      <c r="Q11" s="161"/>
    </row>
    <row r="12" spans="1:12" s="158" customFormat="1" ht="15.75">
      <c r="A12" s="157" t="s">
        <v>172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4" s="125" customFormat="1" ht="15.75">
      <c r="A13" s="157" t="s">
        <v>173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63"/>
      <c r="N13" s="163"/>
    </row>
    <row r="14" spans="1:14" s="125" customFormat="1" ht="15.75">
      <c r="A14" s="157" t="s">
        <v>174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63"/>
      <c r="N14" s="163"/>
    </row>
    <row r="15" spans="1:14" s="125" customFormat="1" ht="15.75" customHeight="1">
      <c r="A15" s="128" t="s">
        <v>175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64"/>
      <c r="N15" s="164"/>
    </row>
    <row r="16" spans="1:14" s="125" customFormat="1" ht="17.25" customHeight="1">
      <c r="A16" s="157" t="s">
        <v>176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63"/>
      <c r="N16" s="163"/>
    </row>
    <row r="17" spans="1:14" s="125" customFormat="1" ht="15.75" customHeight="1">
      <c r="A17" s="157" t="s">
        <v>177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63"/>
      <c r="N17" s="163"/>
    </row>
    <row r="18" spans="1:14" s="125" customFormat="1" ht="15.75" customHeight="1">
      <c r="A18" s="157" t="s">
        <v>178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65"/>
      <c r="N18" s="165"/>
    </row>
    <row r="19" spans="1:14" s="125" customFormat="1" ht="16.5" customHeight="1">
      <c r="A19" s="157" t="s">
        <v>179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65"/>
      <c r="N19" s="165"/>
    </row>
    <row r="20" spans="1:14" s="125" customFormat="1" ht="15.75">
      <c r="A20" s="157" t="s">
        <v>180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65"/>
      <c r="N20" s="165"/>
    </row>
    <row r="21" spans="1:16" s="125" customFormat="1" ht="15.75" customHeight="1">
      <c r="A21" s="160" t="s">
        <v>60</v>
      </c>
      <c r="B21" s="160"/>
      <c r="C21" s="160"/>
      <c r="D21" s="157" t="s">
        <v>61</v>
      </c>
      <c r="E21" s="157"/>
      <c r="F21" s="157"/>
      <c r="G21" s="157"/>
      <c r="H21" s="157" t="s">
        <v>181</v>
      </c>
      <c r="I21" s="157"/>
      <c r="J21" s="157"/>
      <c r="K21" s="157"/>
      <c r="L21" s="157"/>
      <c r="M21" s="156"/>
      <c r="N21" s="156"/>
      <c r="O21" s="156"/>
      <c r="P21" s="155"/>
    </row>
    <row r="22" spans="1:16" s="125" customFormat="1" ht="15.75">
      <c r="A22" s="157" t="s">
        <v>62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63"/>
      <c r="N22" s="163"/>
      <c r="O22" s="158"/>
      <c r="P22" s="158"/>
    </row>
    <row r="23" spans="1:16" ht="15.75">
      <c r="A23" s="157" t="s">
        <v>129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63"/>
      <c r="N23" s="163"/>
      <c r="O23" s="158"/>
      <c r="P23" s="158"/>
    </row>
    <row r="24" spans="1:18" ht="13.5" customHeight="1">
      <c r="A24" s="160" t="s">
        <v>64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6"/>
      <c r="N24" s="166"/>
      <c r="O24" s="156"/>
      <c r="P24" s="156"/>
      <c r="Q24" s="109"/>
      <c r="R24" s="109"/>
    </row>
    <row r="25" spans="1:14" ht="20.25" customHeight="1">
      <c r="A25" s="110" t="s">
        <v>182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78"/>
      <c r="N25" s="78"/>
    </row>
    <row r="26" spans="1:14" ht="34.5" customHeight="1">
      <c r="A26" s="167" t="s">
        <v>66</v>
      </c>
      <c r="B26" s="167"/>
      <c r="C26" s="79" t="s">
        <v>183</v>
      </c>
      <c r="D26" s="79" t="s">
        <v>184</v>
      </c>
      <c r="E26" s="79" t="s">
        <v>185</v>
      </c>
      <c r="F26" s="79" t="s">
        <v>186</v>
      </c>
      <c r="G26" s="79" t="s">
        <v>187</v>
      </c>
      <c r="H26" s="79" t="s">
        <v>188</v>
      </c>
      <c r="I26" s="79" t="s">
        <v>189</v>
      </c>
      <c r="J26" s="79" t="s">
        <v>190</v>
      </c>
      <c r="K26" s="80"/>
      <c r="L26" s="80"/>
      <c r="M26" s="80"/>
      <c r="N26" s="168"/>
    </row>
    <row r="27" spans="1:21" ht="15.75" customHeight="1">
      <c r="A27" s="169" t="s">
        <v>109</v>
      </c>
      <c r="B27" s="170" t="s">
        <v>75</v>
      </c>
      <c r="C27" s="171">
        <f>923-46</f>
        <v>877</v>
      </c>
      <c r="D27" s="171">
        <f>1122-46</f>
        <v>1076</v>
      </c>
      <c r="E27" s="171">
        <f>1448-46</f>
        <v>1402</v>
      </c>
      <c r="F27" s="171">
        <f>1584-46</f>
        <v>1538</v>
      </c>
      <c r="G27" s="171">
        <f>866-46</f>
        <v>820</v>
      </c>
      <c r="H27" s="171">
        <f>1065-46</f>
        <v>1019</v>
      </c>
      <c r="I27" s="171">
        <f>815-46</f>
        <v>769</v>
      </c>
      <c r="J27" s="171">
        <f>940-46</f>
        <v>894</v>
      </c>
      <c r="K27" s="84"/>
      <c r="L27" s="84"/>
      <c r="M27" s="84"/>
      <c r="N27" s="84"/>
      <c r="O27" s="109"/>
      <c r="P27" s="109"/>
      <c r="Q27" s="109"/>
      <c r="R27" s="109"/>
      <c r="S27" s="109"/>
      <c r="T27" s="109"/>
      <c r="U27" s="109"/>
    </row>
    <row r="28" spans="1:21" ht="15.75" customHeight="1">
      <c r="A28" s="172" t="s">
        <v>110</v>
      </c>
      <c r="B28" s="170"/>
      <c r="C28" s="171"/>
      <c r="D28" s="171"/>
      <c r="E28" s="171"/>
      <c r="F28" s="171"/>
      <c r="G28" s="171"/>
      <c r="H28" s="171"/>
      <c r="I28" s="171"/>
      <c r="J28" s="171"/>
      <c r="K28" s="84"/>
      <c r="L28" s="84"/>
      <c r="M28" s="84"/>
      <c r="N28" s="84"/>
      <c r="O28" s="109"/>
      <c r="P28" s="109"/>
      <c r="Q28" s="109"/>
      <c r="R28" s="109"/>
      <c r="S28" s="109"/>
      <c r="T28" s="109"/>
      <c r="U28" s="109"/>
    </row>
    <row r="29" spans="1:21" ht="15" customHeight="1">
      <c r="A29" s="173" t="s">
        <v>111</v>
      </c>
      <c r="B29" s="174" t="s">
        <v>75</v>
      </c>
      <c r="C29" s="171">
        <f>942-46</f>
        <v>896</v>
      </c>
      <c r="D29" s="171">
        <f>1141-46</f>
        <v>1095</v>
      </c>
      <c r="E29" s="171">
        <f>1487-46</f>
        <v>1441</v>
      </c>
      <c r="F29" s="171">
        <f>1617-46</f>
        <v>1571</v>
      </c>
      <c r="G29" s="171">
        <f>883-46</f>
        <v>837</v>
      </c>
      <c r="H29" s="171">
        <f>1082-46</f>
        <v>1036</v>
      </c>
      <c r="I29" s="171">
        <f>828-46</f>
        <v>782</v>
      </c>
      <c r="J29" s="171">
        <f>953-46</f>
        <v>907</v>
      </c>
      <c r="K29" s="84"/>
      <c r="L29" s="84"/>
      <c r="M29" s="84"/>
      <c r="N29" s="84"/>
      <c r="O29" s="109"/>
      <c r="P29" s="109"/>
      <c r="Q29" s="109"/>
      <c r="R29" s="109"/>
      <c r="S29" s="109"/>
      <c r="T29" s="109"/>
      <c r="U29" s="109"/>
    </row>
    <row r="30" spans="1:21" ht="13.5" customHeight="1">
      <c r="A30" s="146" t="s">
        <v>64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74"/>
      <c r="N30" s="74"/>
      <c r="O30" s="109"/>
      <c r="P30" s="109"/>
      <c r="Q30" s="109"/>
      <c r="R30" s="109"/>
      <c r="S30" s="109"/>
      <c r="T30" s="109"/>
      <c r="U30" s="109"/>
    </row>
    <row r="31" spans="1:21" ht="21.75" customHeight="1">
      <c r="A31" s="110" t="s">
        <v>191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78"/>
      <c r="N31" s="78"/>
      <c r="O31" s="109"/>
      <c r="P31" s="109"/>
      <c r="Q31" s="109"/>
      <c r="R31" s="109"/>
      <c r="S31" s="109"/>
      <c r="T31" s="109"/>
      <c r="U31" s="109"/>
    </row>
    <row r="32" spans="1:21" ht="31.5" customHeight="1">
      <c r="A32" s="131" t="s">
        <v>66</v>
      </c>
      <c r="B32" s="131"/>
      <c r="C32" s="132" t="s">
        <v>192</v>
      </c>
      <c r="D32" s="132" t="s">
        <v>193</v>
      </c>
      <c r="E32" s="132" t="s">
        <v>69</v>
      </c>
      <c r="F32" s="132" t="s">
        <v>194</v>
      </c>
      <c r="G32" s="132" t="s">
        <v>142</v>
      </c>
      <c r="H32" s="132" t="s">
        <v>195</v>
      </c>
      <c r="I32" s="132" t="s">
        <v>102</v>
      </c>
      <c r="J32" s="132" t="s">
        <v>196</v>
      </c>
      <c r="K32" s="132" t="s">
        <v>197</v>
      </c>
      <c r="L32" s="132" t="s">
        <v>198</v>
      </c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14" ht="15" customHeight="1">
      <c r="A33" s="175" t="s">
        <v>109</v>
      </c>
      <c r="B33" s="151" t="s">
        <v>75</v>
      </c>
      <c r="C33" s="145">
        <f>930-46</f>
        <v>884</v>
      </c>
      <c r="D33" s="145">
        <f>1098-46</f>
        <v>1052</v>
      </c>
      <c r="E33" s="145">
        <f>1421-46</f>
        <v>1375</v>
      </c>
      <c r="F33" s="145">
        <f>1611-46</f>
        <v>1565</v>
      </c>
      <c r="G33" s="145">
        <f>884-46</f>
        <v>838</v>
      </c>
      <c r="H33" s="145">
        <f>1050-46</f>
        <v>1004</v>
      </c>
      <c r="I33" s="145">
        <f>820-46</f>
        <v>774</v>
      </c>
      <c r="J33" s="145">
        <f>956-46</f>
        <v>910</v>
      </c>
      <c r="K33" s="145">
        <f>858-46</f>
        <v>812</v>
      </c>
      <c r="L33" s="145">
        <f>1020-46</f>
        <v>974</v>
      </c>
      <c r="M33" s="109"/>
      <c r="N33" s="109"/>
    </row>
    <row r="34" spans="1:21" ht="13.5" customHeight="1">
      <c r="A34" s="176">
        <v>40903</v>
      </c>
      <c r="B34" s="151" t="s">
        <v>75</v>
      </c>
      <c r="C34" s="145">
        <f>1157-46</f>
        <v>1111</v>
      </c>
      <c r="D34" s="145">
        <f>1254-46</f>
        <v>1208</v>
      </c>
      <c r="E34" s="145">
        <f>1826-46</f>
        <v>1780</v>
      </c>
      <c r="F34" s="145">
        <f>1893-46</f>
        <v>1847</v>
      </c>
      <c r="G34" s="145">
        <f>1098-46</f>
        <v>1052</v>
      </c>
      <c r="H34" s="145">
        <f>1198-46</f>
        <v>1152</v>
      </c>
      <c r="I34" s="145">
        <f>1008-46</f>
        <v>962</v>
      </c>
      <c r="J34" s="145">
        <f>1086-46</f>
        <v>1040</v>
      </c>
      <c r="K34" s="145">
        <f>1046-46</f>
        <v>1000</v>
      </c>
      <c r="L34" s="145">
        <f>1150-46</f>
        <v>1104</v>
      </c>
      <c r="M34" s="177"/>
      <c r="N34" s="177"/>
      <c r="O34" s="109"/>
      <c r="P34" s="109"/>
      <c r="Q34" s="109"/>
      <c r="R34" s="109"/>
      <c r="S34" s="109"/>
      <c r="T34" s="109"/>
      <c r="U34" s="109"/>
    </row>
    <row r="35" spans="1:21" ht="15.75" customHeight="1">
      <c r="A35" s="175" t="s">
        <v>77</v>
      </c>
      <c r="B35" s="151" t="s">
        <v>75</v>
      </c>
      <c r="C35" s="145">
        <f>884-46</f>
        <v>838</v>
      </c>
      <c r="D35" s="145">
        <f>1051-46</f>
        <v>1005</v>
      </c>
      <c r="E35" s="145">
        <f>1334-46</f>
        <v>1288</v>
      </c>
      <c r="F35" s="145">
        <f>1530-46</f>
        <v>1484</v>
      </c>
      <c r="G35" s="145">
        <f>838-46</f>
        <v>792</v>
      </c>
      <c r="H35" s="145">
        <f>1005-46</f>
        <v>959</v>
      </c>
      <c r="I35" s="145">
        <f>781-46</f>
        <v>735</v>
      </c>
      <c r="J35" s="145">
        <f>917-46</f>
        <v>871</v>
      </c>
      <c r="K35" s="145">
        <f>819-46</f>
        <v>773</v>
      </c>
      <c r="L35" s="145">
        <f>981-46</f>
        <v>935</v>
      </c>
      <c r="O35" s="177"/>
      <c r="P35" s="177"/>
      <c r="Q35" s="177"/>
      <c r="R35" s="177"/>
      <c r="S35" s="177"/>
      <c r="T35" s="177"/>
      <c r="U35" s="178"/>
    </row>
    <row r="36" spans="1:21" ht="13.5" customHeight="1">
      <c r="A36" s="146" t="s">
        <v>64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O36" s="177"/>
      <c r="P36" s="177"/>
      <c r="Q36" s="177"/>
      <c r="R36" s="177"/>
      <c r="S36" s="177"/>
      <c r="T36" s="177"/>
      <c r="U36" s="178"/>
    </row>
    <row r="37" spans="1:21" ht="13.5" customHeight="1">
      <c r="A37" s="144"/>
      <c r="B37" s="179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O37" s="177"/>
      <c r="P37" s="177"/>
      <c r="Q37" s="177"/>
      <c r="R37" s="177"/>
      <c r="S37" s="177"/>
      <c r="T37" s="177"/>
      <c r="U37" s="178"/>
    </row>
    <row r="38" spans="1:21" ht="13.5" customHeight="1">
      <c r="A38" s="144"/>
      <c r="B38" s="179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O38" s="177"/>
      <c r="P38" s="177"/>
      <c r="Q38" s="177"/>
      <c r="R38" s="177"/>
      <c r="S38" s="177"/>
      <c r="T38" s="177"/>
      <c r="U38" s="178"/>
    </row>
    <row r="39" spans="1:21" ht="13.5" customHeight="1">
      <c r="A39" s="144"/>
      <c r="B39" s="179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O39" s="177"/>
      <c r="P39" s="177"/>
      <c r="Q39" s="177"/>
      <c r="R39" s="177"/>
      <c r="S39" s="177"/>
      <c r="T39" s="177"/>
      <c r="U39" s="178"/>
    </row>
    <row r="40" spans="1:14" ht="42.75" customHeight="1">
      <c r="A40" s="180" t="s">
        <v>199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78"/>
      <c r="N40" s="78"/>
    </row>
    <row r="41" spans="1:12" ht="34.5" customHeight="1">
      <c r="A41" s="131" t="s">
        <v>66</v>
      </c>
      <c r="B41" s="131"/>
      <c r="C41" s="132" t="s">
        <v>200</v>
      </c>
      <c r="D41" s="132" t="s">
        <v>201</v>
      </c>
      <c r="E41" s="132" t="s">
        <v>202</v>
      </c>
      <c r="F41" s="132" t="s">
        <v>194</v>
      </c>
      <c r="G41" s="132" t="s">
        <v>203</v>
      </c>
      <c r="H41" s="132" t="s">
        <v>195</v>
      </c>
      <c r="I41" s="132" t="s">
        <v>204</v>
      </c>
      <c r="J41" s="132" t="s">
        <v>116</v>
      </c>
      <c r="K41" s="132" t="s">
        <v>205</v>
      </c>
      <c r="L41" s="132" t="s">
        <v>206</v>
      </c>
    </row>
    <row r="42" spans="1:14" ht="12.75" customHeight="1">
      <c r="A42" s="181" t="s">
        <v>109</v>
      </c>
      <c r="B42" s="112" t="s">
        <v>75</v>
      </c>
      <c r="C42" s="70">
        <v>911</v>
      </c>
      <c r="D42" s="70">
        <v>1047</v>
      </c>
      <c r="E42" s="70">
        <v>1402</v>
      </c>
      <c r="F42" s="70">
        <v>1538</v>
      </c>
      <c r="G42" s="145">
        <v>867</v>
      </c>
      <c r="H42" s="70">
        <v>1003</v>
      </c>
      <c r="I42" s="70">
        <v>777</v>
      </c>
      <c r="J42" s="70">
        <v>887</v>
      </c>
      <c r="K42" s="145">
        <v>951</v>
      </c>
      <c r="L42" s="145">
        <v>815</v>
      </c>
      <c r="N42" s="78"/>
    </row>
    <row r="43" spans="1:12" ht="12.75" customHeight="1">
      <c r="A43" s="182" t="s">
        <v>110</v>
      </c>
      <c r="B43" s="112"/>
      <c r="C43" s="70"/>
      <c r="D43" s="70"/>
      <c r="E43" s="70"/>
      <c r="F43" s="70"/>
      <c r="G43" s="145"/>
      <c r="H43" s="70"/>
      <c r="I43" s="70"/>
      <c r="J43" s="70"/>
      <c r="K43" s="145"/>
      <c r="L43" s="145"/>
    </row>
    <row r="44" spans="1:14" ht="13.5" customHeight="1">
      <c r="A44" s="176">
        <v>40903</v>
      </c>
      <c r="B44" s="112" t="s">
        <v>75</v>
      </c>
      <c r="C44" s="145">
        <f>1052-46</f>
        <v>1006</v>
      </c>
      <c r="D44" s="145">
        <f>1188-46</f>
        <v>1142</v>
      </c>
      <c r="E44" s="145">
        <f>1637-46</f>
        <v>1591</v>
      </c>
      <c r="F44" s="145">
        <f>1773-46</f>
        <v>1727</v>
      </c>
      <c r="G44" s="70">
        <v>947</v>
      </c>
      <c r="H44" s="70">
        <v>1083</v>
      </c>
      <c r="I44" s="70">
        <v>841</v>
      </c>
      <c r="J44" s="70">
        <v>951</v>
      </c>
      <c r="K44" s="70">
        <v>1015</v>
      </c>
      <c r="L44" s="70">
        <v>879</v>
      </c>
      <c r="N44" s="109"/>
    </row>
    <row r="45" spans="1:19" ht="15.75" customHeight="1">
      <c r="A45" s="176">
        <v>40910</v>
      </c>
      <c r="B45" s="112" t="s">
        <v>75</v>
      </c>
      <c r="C45" s="70">
        <v>920</v>
      </c>
      <c r="D45" s="70">
        <v>1056</v>
      </c>
      <c r="E45" s="70">
        <v>1420</v>
      </c>
      <c r="F45" s="70">
        <v>1556</v>
      </c>
      <c r="G45" s="70">
        <v>875</v>
      </c>
      <c r="H45" s="70">
        <v>1011</v>
      </c>
      <c r="I45" s="70">
        <v>783</v>
      </c>
      <c r="J45" s="70">
        <v>893</v>
      </c>
      <c r="K45" s="70">
        <v>957</v>
      </c>
      <c r="L45" s="70">
        <v>821</v>
      </c>
      <c r="N45" s="177"/>
      <c r="O45" s="109"/>
      <c r="P45" s="109"/>
      <c r="Q45" s="109"/>
      <c r="R45" s="109"/>
      <c r="S45" s="109"/>
    </row>
    <row r="46" spans="1:19" ht="12.75" customHeight="1">
      <c r="A46" s="183" t="s">
        <v>64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N46" s="177"/>
      <c r="O46" s="109"/>
      <c r="P46" s="109"/>
      <c r="Q46" s="109"/>
      <c r="R46" s="109"/>
      <c r="S46" s="109"/>
    </row>
    <row r="47" spans="1:19" ht="21.75" customHeight="1">
      <c r="A47" s="63" t="s">
        <v>207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78"/>
      <c r="O47" s="177"/>
      <c r="P47" s="177"/>
      <c r="Q47" s="177"/>
      <c r="R47" s="177"/>
      <c r="S47" s="177"/>
    </row>
    <row r="48" spans="1:14" ht="36" customHeight="1">
      <c r="A48" s="131" t="s">
        <v>66</v>
      </c>
      <c r="B48" s="131"/>
      <c r="C48" s="132" t="s">
        <v>208</v>
      </c>
      <c r="D48" s="132" t="s">
        <v>209</v>
      </c>
      <c r="E48" s="132" t="s">
        <v>153</v>
      </c>
      <c r="F48" s="132" t="s">
        <v>210</v>
      </c>
      <c r="G48" s="132" t="s">
        <v>211</v>
      </c>
      <c r="H48" s="132" t="s">
        <v>212</v>
      </c>
      <c r="I48" s="132" t="s">
        <v>213</v>
      </c>
      <c r="J48" s="132" t="s">
        <v>214</v>
      </c>
      <c r="N48" s="116"/>
    </row>
    <row r="49" spans="1:21" ht="13.5" customHeight="1">
      <c r="A49" s="181" t="s">
        <v>109</v>
      </c>
      <c r="B49" s="112" t="s">
        <v>75</v>
      </c>
      <c r="C49" s="145">
        <f>981-46</f>
        <v>935</v>
      </c>
      <c r="D49" s="145">
        <f>1117-46</f>
        <v>1071</v>
      </c>
      <c r="E49" s="145">
        <f>1484-46</f>
        <v>1438</v>
      </c>
      <c r="F49" s="145">
        <f>1620-46</f>
        <v>1574</v>
      </c>
      <c r="G49" s="145">
        <f>932-46</f>
        <v>886</v>
      </c>
      <c r="H49" s="145">
        <f>1068-46</f>
        <v>1022</v>
      </c>
      <c r="I49" s="145">
        <f>816-46</f>
        <v>770</v>
      </c>
      <c r="J49" s="145">
        <f>926-46</f>
        <v>880</v>
      </c>
      <c r="K49" s="177"/>
      <c r="L49" s="177"/>
      <c r="M49" s="177"/>
      <c r="N49" s="78"/>
      <c r="T49" s="109"/>
      <c r="U49" s="109"/>
    </row>
    <row r="50" spans="1:21" ht="13.5" customHeight="1">
      <c r="A50" s="182" t="s">
        <v>110</v>
      </c>
      <c r="B50" s="112"/>
      <c r="C50" s="145"/>
      <c r="D50" s="145"/>
      <c r="E50" s="145"/>
      <c r="F50" s="145"/>
      <c r="G50" s="145"/>
      <c r="H50" s="145"/>
      <c r="I50" s="145"/>
      <c r="J50" s="145"/>
      <c r="K50" s="177"/>
      <c r="L50" s="177"/>
      <c r="M50" s="177"/>
      <c r="O50" s="64"/>
      <c r="P50" s="64"/>
      <c r="Q50" s="64"/>
      <c r="R50" s="64"/>
      <c r="S50" s="64"/>
      <c r="T50" s="109"/>
      <c r="U50" s="109"/>
    </row>
    <row r="51" spans="1:21" ht="13.5" customHeight="1">
      <c r="A51" s="175" t="s">
        <v>111</v>
      </c>
      <c r="B51" s="112" t="s">
        <v>75</v>
      </c>
      <c r="C51" s="145">
        <f>1032-46</f>
        <v>986</v>
      </c>
      <c r="D51" s="145">
        <f>1168-46</f>
        <v>1122</v>
      </c>
      <c r="E51" s="145">
        <f>1571-46</f>
        <v>1525</v>
      </c>
      <c r="F51" s="145">
        <f>1707-46</f>
        <v>1661</v>
      </c>
      <c r="G51" s="145">
        <f>981-46</f>
        <v>935</v>
      </c>
      <c r="H51" s="145">
        <f>1117-46</f>
        <v>1071</v>
      </c>
      <c r="I51" s="145">
        <f>850-46</f>
        <v>804</v>
      </c>
      <c r="J51" s="145">
        <f>960-46</f>
        <v>914</v>
      </c>
      <c r="T51" s="177"/>
      <c r="U51" s="178"/>
    </row>
    <row r="52" spans="1:13" ht="13.5" customHeight="1">
      <c r="A52" s="146" t="s">
        <v>64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16"/>
    </row>
    <row r="53" spans="1:10" ht="12.75" customHeight="1">
      <c r="A53" s="144"/>
      <c r="B53" s="73"/>
      <c r="C53" s="74"/>
      <c r="D53" s="74"/>
      <c r="E53" s="74"/>
      <c r="F53" s="74"/>
      <c r="G53" s="74"/>
      <c r="H53" s="74"/>
      <c r="I53" s="74"/>
      <c r="J53" s="74"/>
    </row>
    <row r="54" spans="1:13" ht="23.25" customHeight="1">
      <c r="A54" s="63" t="s">
        <v>215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78"/>
    </row>
    <row r="55" spans="1:21" ht="35.25" customHeight="1">
      <c r="A55" s="131" t="s">
        <v>66</v>
      </c>
      <c r="B55" s="131"/>
      <c r="C55" s="142" t="s">
        <v>200</v>
      </c>
      <c r="D55" s="142" t="s">
        <v>216</v>
      </c>
      <c r="E55" s="142" t="s">
        <v>217</v>
      </c>
      <c r="F55" s="142" t="s">
        <v>194</v>
      </c>
      <c r="G55" s="142" t="s">
        <v>166</v>
      </c>
      <c r="H55" s="142" t="s">
        <v>195</v>
      </c>
      <c r="I55" s="142" t="s">
        <v>218</v>
      </c>
      <c r="J55" s="142" t="s">
        <v>219</v>
      </c>
      <c r="T55" s="64"/>
      <c r="U55" s="64"/>
    </row>
    <row r="56" spans="1:14" ht="12.75" customHeight="1">
      <c r="A56" s="181" t="s">
        <v>109</v>
      </c>
      <c r="B56" s="151" t="s">
        <v>75</v>
      </c>
      <c r="C56" s="145">
        <f>1001-46</f>
        <v>955</v>
      </c>
      <c r="D56" s="145">
        <f>1137-46</f>
        <v>1091</v>
      </c>
      <c r="E56" s="145">
        <f>1520-46</f>
        <v>1474</v>
      </c>
      <c r="F56" s="145">
        <f>1656-46</f>
        <v>1610</v>
      </c>
      <c r="G56" s="145">
        <f>951-46</f>
        <v>905</v>
      </c>
      <c r="H56" s="145">
        <f>1087-46</f>
        <v>1041</v>
      </c>
      <c r="I56" s="145">
        <f>829-46</f>
        <v>783</v>
      </c>
      <c r="J56" s="145">
        <f>939-46</f>
        <v>893</v>
      </c>
      <c r="N56" s="78"/>
    </row>
    <row r="57" spans="1:19" ht="12.75" customHeight="1">
      <c r="A57" s="182" t="s">
        <v>110</v>
      </c>
      <c r="B57" s="151"/>
      <c r="C57" s="145"/>
      <c r="D57" s="145"/>
      <c r="E57" s="145"/>
      <c r="F57" s="145"/>
      <c r="G57" s="145"/>
      <c r="H57" s="145"/>
      <c r="I57" s="145"/>
      <c r="J57" s="145"/>
      <c r="O57" s="64"/>
      <c r="P57" s="64"/>
      <c r="Q57" s="64"/>
      <c r="R57" s="64"/>
      <c r="S57" s="64"/>
    </row>
    <row r="58" spans="1:10" ht="12.75" customHeight="1">
      <c r="A58" s="175" t="s">
        <v>111</v>
      </c>
      <c r="B58" s="151" t="s">
        <v>75</v>
      </c>
      <c r="C58" s="145">
        <f>1020-46</f>
        <v>974</v>
      </c>
      <c r="D58" s="145">
        <f>1156-46</f>
        <v>1110</v>
      </c>
      <c r="E58" s="145">
        <f>1550-46</f>
        <v>1504</v>
      </c>
      <c r="F58" s="145">
        <f>1686-46</f>
        <v>1640</v>
      </c>
      <c r="G58" s="145">
        <f>969-46</f>
        <v>923</v>
      </c>
      <c r="H58" s="145">
        <f>1105-46</f>
        <v>1059</v>
      </c>
      <c r="I58" s="145">
        <f>842-46</f>
        <v>796</v>
      </c>
      <c r="J58" s="145">
        <f>952-46</f>
        <v>906</v>
      </c>
    </row>
    <row r="59" spans="1:10" ht="12.75" customHeight="1">
      <c r="A59" s="183" t="s">
        <v>64</v>
      </c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2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3" ht="21" customHeight="1">
      <c r="A61" s="180" t="s">
        <v>220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78"/>
    </row>
    <row r="62" spans="1:21" ht="34.5" customHeight="1">
      <c r="A62" s="131" t="s">
        <v>66</v>
      </c>
      <c r="B62" s="131"/>
      <c r="C62" s="142" t="s">
        <v>221</v>
      </c>
      <c r="D62" s="142" t="s">
        <v>193</v>
      </c>
      <c r="E62" s="142" t="s">
        <v>222</v>
      </c>
      <c r="F62" s="142" t="s">
        <v>194</v>
      </c>
      <c r="G62" s="142" t="s">
        <v>223</v>
      </c>
      <c r="H62" s="142" t="s">
        <v>195</v>
      </c>
      <c r="I62" s="142" t="s">
        <v>224</v>
      </c>
      <c r="J62" s="142" t="s">
        <v>225</v>
      </c>
      <c r="K62" s="142" t="s">
        <v>116</v>
      </c>
      <c r="L62" s="142" t="s">
        <v>198</v>
      </c>
      <c r="T62" s="64"/>
      <c r="U62" s="64"/>
    </row>
    <row r="63" spans="1:14" ht="13.5" customHeight="1">
      <c r="A63" s="181" t="s">
        <v>109</v>
      </c>
      <c r="B63" s="151" t="s">
        <v>75</v>
      </c>
      <c r="C63" s="145">
        <f>1008-46</f>
        <v>962</v>
      </c>
      <c r="D63" s="145">
        <f>1144-46</f>
        <v>1098</v>
      </c>
      <c r="E63" s="145">
        <f>1559-46</f>
        <v>1513</v>
      </c>
      <c r="F63" s="145">
        <f>1695-46</f>
        <v>1649</v>
      </c>
      <c r="G63" s="145">
        <f>948-46</f>
        <v>902</v>
      </c>
      <c r="H63" s="145">
        <f>1084-46</f>
        <v>1038</v>
      </c>
      <c r="I63" s="145">
        <f>877-46</f>
        <v>831</v>
      </c>
      <c r="J63" s="145">
        <f>915-46</f>
        <v>869</v>
      </c>
      <c r="K63" s="145">
        <f>987-46</f>
        <v>941</v>
      </c>
      <c r="L63" s="145">
        <f>1051-46</f>
        <v>1005</v>
      </c>
      <c r="N63" s="78"/>
    </row>
    <row r="64" spans="1:18" ht="13.5" customHeight="1">
      <c r="A64" s="182" t="s">
        <v>110</v>
      </c>
      <c r="B64" s="151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R64" s="64"/>
    </row>
    <row r="65" spans="1:12" ht="13.5" customHeight="1">
      <c r="A65" s="175" t="s">
        <v>111</v>
      </c>
      <c r="B65" s="151" t="s">
        <v>75</v>
      </c>
      <c r="C65" s="145">
        <f>1026-46</f>
        <v>980</v>
      </c>
      <c r="D65" s="145">
        <f>1162-46</f>
        <v>1116</v>
      </c>
      <c r="E65" s="145">
        <f>1592-46</f>
        <v>1546</v>
      </c>
      <c r="F65" s="145">
        <f>1728-46</f>
        <v>1682</v>
      </c>
      <c r="G65" s="145">
        <f>964-46</f>
        <v>918</v>
      </c>
      <c r="H65" s="145">
        <f>1100-46</f>
        <v>1054</v>
      </c>
      <c r="I65" s="145">
        <f>889-46</f>
        <v>843</v>
      </c>
      <c r="J65" s="145">
        <f>927-46</f>
        <v>881</v>
      </c>
      <c r="K65" s="145">
        <f>999-46</f>
        <v>953</v>
      </c>
      <c r="L65" s="145">
        <f>1063-46</f>
        <v>1017</v>
      </c>
    </row>
    <row r="66" spans="1:12" ht="12.75" customHeight="1">
      <c r="A66" s="183" t="s">
        <v>64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1:12" ht="13.5" customHeight="1">
      <c r="A67" s="144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7" ht="21" customHeight="1">
      <c r="A68" s="180" t="s">
        <v>226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4"/>
      <c r="N68" s="116"/>
      <c r="O68" s="74"/>
      <c r="P68" s="74"/>
      <c r="Q68" s="74"/>
    </row>
    <row r="69" spans="1:17" ht="36.75" customHeight="1">
      <c r="A69" s="131" t="s">
        <v>66</v>
      </c>
      <c r="B69" s="131"/>
      <c r="C69" s="142" t="s">
        <v>67</v>
      </c>
      <c r="D69" s="142" t="s">
        <v>227</v>
      </c>
      <c r="E69" s="142" t="s">
        <v>228</v>
      </c>
      <c r="F69" s="142" t="s">
        <v>229</v>
      </c>
      <c r="G69" s="142" t="s">
        <v>230</v>
      </c>
      <c r="H69" s="142" t="s">
        <v>194</v>
      </c>
      <c r="I69" s="142" t="s">
        <v>142</v>
      </c>
      <c r="J69" s="142" t="s">
        <v>231</v>
      </c>
      <c r="K69" s="142" t="s">
        <v>195</v>
      </c>
      <c r="L69" s="142" t="s">
        <v>232</v>
      </c>
      <c r="M69" s="142" t="s">
        <v>233</v>
      </c>
      <c r="N69" s="142" t="s">
        <v>234</v>
      </c>
      <c r="O69" s="142" t="s">
        <v>206</v>
      </c>
      <c r="P69" s="142" t="s">
        <v>235</v>
      </c>
      <c r="Q69" s="142" t="s">
        <v>205</v>
      </c>
    </row>
    <row r="70" spans="1:19" ht="13.5" customHeight="1">
      <c r="A70" s="175" t="s">
        <v>106</v>
      </c>
      <c r="B70" s="151" t="s">
        <v>75</v>
      </c>
      <c r="C70" s="145">
        <f>1058-46</f>
        <v>1012</v>
      </c>
      <c r="D70" s="145">
        <f>1196-46</f>
        <v>1150</v>
      </c>
      <c r="E70" s="145">
        <f>1332-46</f>
        <v>1286</v>
      </c>
      <c r="F70" s="145">
        <f>1616-46</f>
        <v>1570</v>
      </c>
      <c r="G70" s="145">
        <f>1754-46</f>
        <v>1708</v>
      </c>
      <c r="H70" s="145">
        <f>1890-46</f>
        <v>1844</v>
      </c>
      <c r="I70" s="145">
        <f>998-46</f>
        <v>952</v>
      </c>
      <c r="J70" s="145">
        <f>1136-46</f>
        <v>1090</v>
      </c>
      <c r="K70" s="145">
        <f>1272-46</f>
        <v>1226</v>
      </c>
      <c r="L70" s="145">
        <f>900-46</f>
        <v>854</v>
      </c>
      <c r="M70" s="145">
        <f>938-46</f>
        <v>892</v>
      </c>
      <c r="N70" s="145">
        <f>1016-46</f>
        <v>970</v>
      </c>
      <c r="O70" s="145">
        <f>1054-48</f>
        <v>1006</v>
      </c>
      <c r="P70" s="145">
        <f>1126-46</f>
        <v>1080</v>
      </c>
      <c r="Q70" s="145">
        <f>1190-46</f>
        <v>1144</v>
      </c>
      <c r="R70" s="64"/>
      <c r="S70" s="64"/>
    </row>
    <row r="71" spans="1:17" ht="13.5" customHeight="1">
      <c r="A71" s="175" t="s">
        <v>77</v>
      </c>
      <c r="B71" s="151" t="s">
        <v>75</v>
      </c>
      <c r="C71" s="145">
        <f>1014-46</f>
        <v>968</v>
      </c>
      <c r="D71" s="145">
        <f>1152-46</f>
        <v>1106</v>
      </c>
      <c r="E71" s="145">
        <f>1288-46</f>
        <v>1242</v>
      </c>
      <c r="F71" s="145">
        <f>1541-46</f>
        <v>1495</v>
      </c>
      <c r="G71" s="145">
        <f>1679-46</f>
        <v>1633</v>
      </c>
      <c r="H71" s="145">
        <f>1815-46</f>
        <v>1769</v>
      </c>
      <c r="I71" s="145">
        <f>957-46</f>
        <v>911</v>
      </c>
      <c r="J71" s="145">
        <f>1095-46</f>
        <v>1049</v>
      </c>
      <c r="K71" s="145">
        <f>1231-46</f>
        <v>1185</v>
      </c>
      <c r="L71" s="145">
        <f>868-46</f>
        <v>822</v>
      </c>
      <c r="M71" s="145">
        <f>906-46</f>
        <v>860</v>
      </c>
      <c r="N71" s="145">
        <f>984-46</f>
        <v>938</v>
      </c>
      <c r="O71" s="145">
        <f>1022-46</f>
        <v>976</v>
      </c>
      <c r="P71" s="145">
        <f>1094-46</f>
        <v>1048</v>
      </c>
      <c r="Q71" s="145">
        <f>1158-46</f>
        <v>1112</v>
      </c>
    </row>
    <row r="72" spans="1:13" ht="13.5" customHeight="1">
      <c r="A72" s="183" t="s">
        <v>64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5"/>
    </row>
    <row r="73" spans="1:12" ht="13.5" customHeight="1">
      <c r="A73" s="144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1:13" ht="21" customHeight="1">
      <c r="A74" s="63" t="s">
        <v>236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78"/>
    </row>
    <row r="75" spans="1:21" ht="35.25" customHeight="1">
      <c r="A75" s="131" t="s">
        <v>66</v>
      </c>
      <c r="B75" s="131"/>
      <c r="C75" s="132" t="s">
        <v>237</v>
      </c>
      <c r="D75" s="132" t="s">
        <v>238</v>
      </c>
      <c r="E75" s="132" t="s">
        <v>239</v>
      </c>
      <c r="F75" s="132" t="s">
        <v>240</v>
      </c>
      <c r="G75" s="132" t="s">
        <v>241</v>
      </c>
      <c r="H75" s="132" t="s">
        <v>242</v>
      </c>
      <c r="I75" s="132" t="s">
        <v>243</v>
      </c>
      <c r="J75" s="132" t="s">
        <v>244</v>
      </c>
      <c r="T75" s="64"/>
      <c r="U75" s="64"/>
    </row>
    <row r="76" spans="1:19" ht="13.5" customHeight="1">
      <c r="A76" s="181" t="s">
        <v>109</v>
      </c>
      <c r="B76" s="151" t="s">
        <v>75</v>
      </c>
      <c r="C76" s="145">
        <f>1017-46</f>
        <v>971</v>
      </c>
      <c r="D76" s="145">
        <f>1153-46</f>
        <v>1107</v>
      </c>
      <c r="E76" s="145">
        <f>1544-46</f>
        <v>1498</v>
      </c>
      <c r="F76" s="145">
        <f>1680-46</f>
        <v>1634</v>
      </c>
      <c r="G76" s="145">
        <f>965-46</f>
        <v>919</v>
      </c>
      <c r="H76" s="145">
        <f>1101-46</f>
        <v>1055</v>
      </c>
      <c r="I76" s="145">
        <f>840-46</f>
        <v>794</v>
      </c>
      <c r="J76" s="145">
        <f>950-46</f>
        <v>904</v>
      </c>
      <c r="N76" s="78"/>
      <c r="O76" s="77"/>
      <c r="P76" s="109"/>
      <c r="Q76" s="109"/>
      <c r="R76" s="109"/>
      <c r="S76" s="109"/>
    </row>
    <row r="77" spans="1:19" ht="13.5" customHeight="1">
      <c r="A77" s="182" t="s">
        <v>110</v>
      </c>
      <c r="B77" s="151"/>
      <c r="C77" s="145"/>
      <c r="D77" s="145"/>
      <c r="E77" s="145"/>
      <c r="F77" s="145"/>
      <c r="G77" s="145"/>
      <c r="H77" s="145"/>
      <c r="I77" s="145"/>
      <c r="J77" s="145"/>
      <c r="R77" s="109"/>
      <c r="S77" s="109"/>
    </row>
    <row r="78" spans="1:10" ht="13.5" customHeight="1">
      <c r="A78" s="175" t="s">
        <v>111</v>
      </c>
      <c r="B78" s="151" t="s">
        <v>75</v>
      </c>
      <c r="C78" s="145">
        <f>1052-46</f>
        <v>1006</v>
      </c>
      <c r="D78" s="145">
        <f>1188-46</f>
        <v>1142</v>
      </c>
      <c r="E78" s="145">
        <f>1604-46</f>
        <v>1558</v>
      </c>
      <c r="F78" s="145">
        <f>1740-46</f>
        <v>1694</v>
      </c>
      <c r="G78" s="145">
        <f>999-46</f>
        <v>953</v>
      </c>
      <c r="H78" s="145">
        <f>1135-46</f>
        <v>1089</v>
      </c>
      <c r="I78" s="145">
        <f>863-46</f>
        <v>817</v>
      </c>
      <c r="J78" s="145">
        <f>973-46</f>
        <v>927</v>
      </c>
    </row>
    <row r="79" spans="1:12" ht="13.5" customHeight="1">
      <c r="A79" s="146" t="s">
        <v>64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</row>
    <row r="80" spans="1:13" ht="13.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1:21" ht="21.75" customHeight="1">
      <c r="A81" s="180" t="s">
        <v>245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4"/>
      <c r="T81" s="109"/>
      <c r="U81" s="109"/>
    </row>
    <row r="82" spans="1:21" ht="33.75" customHeight="1">
      <c r="A82" s="131" t="s">
        <v>66</v>
      </c>
      <c r="B82" s="131"/>
      <c r="C82" s="132" t="s">
        <v>67</v>
      </c>
      <c r="D82" s="132" t="s">
        <v>246</v>
      </c>
      <c r="E82" s="132" t="s">
        <v>228</v>
      </c>
      <c r="F82" s="132" t="s">
        <v>229</v>
      </c>
      <c r="G82" s="132" t="s">
        <v>230</v>
      </c>
      <c r="H82" s="132" t="s">
        <v>194</v>
      </c>
      <c r="I82" s="132" t="s">
        <v>142</v>
      </c>
      <c r="J82" s="132" t="s">
        <v>231</v>
      </c>
      <c r="K82" s="132" t="s">
        <v>195</v>
      </c>
      <c r="L82" s="132" t="s">
        <v>102</v>
      </c>
      <c r="M82" s="132" t="s">
        <v>233</v>
      </c>
      <c r="N82" s="132" t="s">
        <v>247</v>
      </c>
      <c r="O82" s="132" t="s">
        <v>206</v>
      </c>
      <c r="P82" s="132" t="s">
        <v>196</v>
      </c>
      <c r="Q82" s="132" t="s">
        <v>205</v>
      </c>
      <c r="T82" s="109"/>
      <c r="U82" s="109"/>
    </row>
    <row r="83" spans="1:21" ht="13.5" customHeight="1">
      <c r="A83" s="181" t="s">
        <v>109</v>
      </c>
      <c r="B83" s="151" t="s">
        <v>75</v>
      </c>
      <c r="C83" s="145">
        <f>1158-46</f>
        <v>1112</v>
      </c>
      <c r="D83" s="145">
        <f>1329-46</f>
        <v>1283</v>
      </c>
      <c r="E83" s="145">
        <f>1465-46</f>
        <v>1419</v>
      </c>
      <c r="F83" s="145">
        <f>1853-46</f>
        <v>1807</v>
      </c>
      <c r="G83" s="145">
        <f>2024-46</f>
        <v>1978</v>
      </c>
      <c r="H83" s="145">
        <f>2160-46</f>
        <v>2114</v>
      </c>
      <c r="I83" s="145">
        <f>1093-46</f>
        <v>1047</v>
      </c>
      <c r="J83" s="145">
        <f>1264-46</f>
        <v>1218</v>
      </c>
      <c r="K83" s="145">
        <f>1400-46</f>
        <v>1354</v>
      </c>
      <c r="L83" s="145">
        <f>957-46</f>
        <v>911</v>
      </c>
      <c r="M83" s="145">
        <f>995-46</f>
        <v>949</v>
      </c>
      <c r="N83" s="145">
        <f>1100-46</f>
        <v>1054</v>
      </c>
      <c r="O83" s="145">
        <f>1166-46</f>
        <v>1120</v>
      </c>
      <c r="P83" s="145">
        <f>1210-46</f>
        <v>1164</v>
      </c>
      <c r="Q83" s="145">
        <f>1302-46</f>
        <v>1256</v>
      </c>
      <c r="T83" s="109"/>
      <c r="U83" s="109"/>
    </row>
    <row r="84" spans="1:21" ht="13.5" customHeight="1">
      <c r="A84" s="182" t="s">
        <v>77</v>
      </c>
      <c r="B84" s="151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T84" s="109"/>
      <c r="U84" s="109"/>
    </row>
    <row r="85" spans="1:21" ht="13.5" customHeight="1">
      <c r="A85" s="176">
        <v>40903</v>
      </c>
      <c r="B85" s="151" t="s">
        <v>75</v>
      </c>
      <c r="C85" s="145">
        <f>1245-46</f>
        <v>1199</v>
      </c>
      <c r="D85" s="145">
        <f>1482-46</f>
        <v>1436</v>
      </c>
      <c r="E85" s="145">
        <f>1618-46</f>
        <v>1572</v>
      </c>
      <c r="F85" s="145">
        <f>2021-46</f>
        <v>1975</v>
      </c>
      <c r="G85" s="145">
        <f>2258-46</f>
        <v>2212</v>
      </c>
      <c r="H85" s="145">
        <f>2394-46</f>
        <v>2348</v>
      </c>
      <c r="I85" s="145">
        <f>1173-46</f>
        <v>1127</v>
      </c>
      <c r="J85" s="145">
        <f>1410-46</f>
        <v>1364</v>
      </c>
      <c r="K85" s="145">
        <f>1546-46</f>
        <v>1500</v>
      </c>
      <c r="L85" s="145">
        <f>1015-46</f>
        <v>969</v>
      </c>
      <c r="M85" s="145">
        <f>1053-46</f>
        <v>1007</v>
      </c>
      <c r="N85" s="145">
        <f>1213-46</f>
        <v>1167</v>
      </c>
      <c r="O85" s="145">
        <f>1290-46</f>
        <v>1244</v>
      </c>
      <c r="P85" s="145">
        <f>1323-46</f>
        <v>1277</v>
      </c>
      <c r="Q85" s="145">
        <f>1426-46</f>
        <v>1380</v>
      </c>
      <c r="T85" s="109"/>
      <c r="U85" s="109"/>
    </row>
    <row r="86" spans="1:21" ht="12.75" customHeight="1">
      <c r="A86" s="183" t="s">
        <v>64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5"/>
      <c r="T86" s="109"/>
      <c r="U86" s="109"/>
    </row>
    <row r="87" spans="1:21" ht="12.75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T87" s="109"/>
      <c r="U87" s="109"/>
    </row>
    <row r="88" spans="1:13" ht="20.25">
      <c r="A88" s="186" t="s">
        <v>248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7"/>
    </row>
    <row r="89" spans="1:17" ht="42.75" customHeight="1">
      <c r="A89" s="131" t="s">
        <v>66</v>
      </c>
      <c r="B89" s="131"/>
      <c r="C89" s="132" t="s">
        <v>249</v>
      </c>
      <c r="D89" s="132" t="s">
        <v>250</v>
      </c>
      <c r="E89" s="132" t="s">
        <v>216</v>
      </c>
      <c r="F89" s="132" t="s">
        <v>251</v>
      </c>
      <c r="G89" s="132" t="s">
        <v>252</v>
      </c>
      <c r="H89" s="132" t="s">
        <v>194</v>
      </c>
      <c r="I89" s="132" t="s">
        <v>253</v>
      </c>
      <c r="J89" s="132" t="s">
        <v>254</v>
      </c>
      <c r="K89" s="132" t="s">
        <v>195</v>
      </c>
      <c r="L89" s="132" t="s">
        <v>255</v>
      </c>
      <c r="M89" s="132" t="s">
        <v>197</v>
      </c>
      <c r="N89" s="132" t="s">
        <v>224</v>
      </c>
      <c r="O89" s="132" t="s">
        <v>206</v>
      </c>
      <c r="P89" s="132" t="s">
        <v>196</v>
      </c>
      <c r="Q89" s="132" t="s">
        <v>198</v>
      </c>
    </row>
    <row r="90" spans="1:18" ht="16.5" customHeight="1">
      <c r="A90" s="181" t="s">
        <v>109</v>
      </c>
      <c r="B90" s="112" t="s">
        <v>75</v>
      </c>
      <c r="C90" s="188">
        <f>1169-46</f>
        <v>1123</v>
      </c>
      <c r="D90" s="188">
        <f>1286-46</f>
        <v>1240</v>
      </c>
      <c r="E90" s="188">
        <f>1422-46</f>
        <v>1376</v>
      </c>
      <c r="F90" s="188">
        <f>1805-46</f>
        <v>1759</v>
      </c>
      <c r="G90" s="188">
        <f>1922-46</f>
        <v>1876</v>
      </c>
      <c r="H90" s="188">
        <f>2058-46</f>
        <v>2012</v>
      </c>
      <c r="I90" s="188">
        <f>1087-46</f>
        <v>1041</v>
      </c>
      <c r="J90" s="188">
        <f>1204-46</f>
        <v>1158</v>
      </c>
      <c r="K90" s="188">
        <f>1340-46</f>
        <v>1294</v>
      </c>
      <c r="L90" s="188">
        <f>941-46</f>
        <v>895</v>
      </c>
      <c r="M90" s="188">
        <f>979-46</f>
        <v>933</v>
      </c>
      <c r="N90" s="188">
        <f>1039-46</f>
        <v>993</v>
      </c>
      <c r="O90" s="188">
        <f>1096-46</f>
        <v>1050</v>
      </c>
      <c r="P90" s="188">
        <f>1149-46</f>
        <v>1103</v>
      </c>
      <c r="Q90" s="188">
        <f>1232-46</f>
        <v>1186</v>
      </c>
      <c r="R90" s="64"/>
    </row>
    <row r="91" spans="1:17" ht="16.5" customHeight="1">
      <c r="A91" s="182" t="s">
        <v>110</v>
      </c>
      <c r="B91" s="112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ht="13.5" customHeight="1">
      <c r="A92" s="175" t="s">
        <v>111</v>
      </c>
      <c r="B92" s="112" t="s">
        <v>75</v>
      </c>
      <c r="C92" s="188">
        <f>1196-46</f>
        <v>1150</v>
      </c>
      <c r="D92" s="188">
        <f>1313-46</f>
        <v>1267</v>
      </c>
      <c r="E92" s="188">
        <f>1449-46</f>
        <v>1403</v>
      </c>
      <c r="F92" s="188">
        <f>1847-46</f>
        <v>1801</v>
      </c>
      <c r="G92" s="188">
        <f>1964-46</f>
        <v>1918</v>
      </c>
      <c r="H92" s="188">
        <f>2100-46</f>
        <v>2054</v>
      </c>
      <c r="I92" s="188">
        <f>1110-46</f>
        <v>1064</v>
      </c>
      <c r="J92" s="188">
        <f>1227-46</f>
        <v>1181</v>
      </c>
      <c r="K92" s="188">
        <f>1363-46</f>
        <v>1317</v>
      </c>
      <c r="L92" s="188">
        <f>959-46</f>
        <v>913</v>
      </c>
      <c r="M92" s="188">
        <f>997-46</f>
        <v>951</v>
      </c>
      <c r="N92" s="188">
        <f>1057-46</f>
        <v>1011</v>
      </c>
      <c r="O92" s="188">
        <f>1114-46</f>
        <v>1068</v>
      </c>
      <c r="P92" s="188">
        <f>1167-46</f>
        <v>1121</v>
      </c>
      <c r="Q92" s="188">
        <f>1250-46</f>
        <v>1204</v>
      </c>
    </row>
    <row r="93" spans="1:21" ht="13.5" customHeight="1">
      <c r="A93" s="183" t="s">
        <v>64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5"/>
      <c r="T93" s="109"/>
      <c r="U93" s="109"/>
    </row>
    <row r="94" spans="1:13" ht="13.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</row>
    <row r="95" spans="1:19" ht="21.75" customHeight="1">
      <c r="A95" s="63" t="s">
        <v>256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78"/>
      <c r="R95" s="81"/>
      <c r="S95" s="81"/>
    </row>
    <row r="96" spans="1:17" ht="35.25" customHeight="1">
      <c r="A96" s="131" t="s">
        <v>66</v>
      </c>
      <c r="B96" s="131"/>
      <c r="C96" s="132" t="s">
        <v>257</v>
      </c>
      <c r="D96" s="132" t="s">
        <v>228</v>
      </c>
      <c r="E96" s="132" t="s">
        <v>251</v>
      </c>
      <c r="F96" s="132" t="s">
        <v>100</v>
      </c>
      <c r="G96" s="132" t="s">
        <v>142</v>
      </c>
      <c r="H96" s="132" t="s">
        <v>195</v>
      </c>
      <c r="I96" s="132" t="s">
        <v>233</v>
      </c>
      <c r="J96" s="132" t="s">
        <v>196</v>
      </c>
      <c r="K96" s="132" t="s">
        <v>205</v>
      </c>
      <c r="P96" s="109"/>
      <c r="Q96" s="109"/>
    </row>
    <row r="97" spans="1:22" ht="13.5" customHeight="1">
      <c r="A97" s="181" t="s">
        <v>109</v>
      </c>
      <c r="B97" s="151" t="s">
        <v>75</v>
      </c>
      <c r="C97" s="145">
        <f>1098-46</f>
        <v>1052</v>
      </c>
      <c r="D97" s="145">
        <f>1375-46</f>
        <v>1329</v>
      </c>
      <c r="E97" s="145">
        <f>1721-46</f>
        <v>1675</v>
      </c>
      <c r="F97" s="145">
        <f>1998-46</f>
        <v>1952</v>
      </c>
      <c r="G97" s="145">
        <f>1030-46</f>
        <v>984</v>
      </c>
      <c r="H97" s="145">
        <f>1307-46</f>
        <v>1261</v>
      </c>
      <c r="I97" s="145">
        <f>927-46</f>
        <v>881</v>
      </c>
      <c r="J97" s="145">
        <f>1155-46</f>
        <v>1109</v>
      </c>
      <c r="K97" s="145">
        <f>1242-46</f>
        <v>1196</v>
      </c>
      <c r="P97" s="64"/>
      <c r="Q97" s="64"/>
      <c r="R97" s="64"/>
      <c r="S97" s="64"/>
      <c r="T97" s="81"/>
      <c r="U97" s="81"/>
      <c r="V97" s="81"/>
    </row>
    <row r="98" spans="1:22" ht="13.5" customHeight="1">
      <c r="A98" s="182" t="s">
        <v>110</v>
      </c>
      <c r="B98" s="151"/>
      <c r="C98" s="145"/>
      <c r="D98" s="145"/>
      <c r="E98" s="145"/>
      <c r="F98" s="145"/>
      <c r="G98" s="145"/>
      <c r="H98" s="145"/>
      <c r="I98" s="145"/>
      <c r="J98" s="145"/>
      <c r="K98" s="145"/>
      <c r="P98" s="64"/>
      <c r="Q98" s="64"/>
      <c r="T98" s="81"/>
      <c r="U98" s="81"/>
      <c r="V98" s="81"/>
    </row>
    <row r="99" spans="1:23" ht="13.5" customHeight="1">
      <c r="A99" s="175" t="s">
        <v>111</v>
      </c>
      <c r="B99" s="151" t="s">
        <v>75</v>
      </c>
      <c r="C99" s="145">
        <f>1115-46</f>
        <v>1069</v>
      </c>
      <c r="D99" s="145">
        <f>1392-46</f>
        <v>1346</v>
      </c>
      <c r="E99" s="145">
        <f>1751-46</f>
        <v>1705</v>
      </c>
      <c r="F99" s="145">
        <f>2028-46</f>
        <v>1982</v>
      </c>
      <c r="G99" s="145">
        <f>1044-46</f>
        <v>998</v>
      </c>
      <c r="H99" s="145">
        <f>1321-46</f>
        <v>1275</v>
      </c>
      <c r="I99" s="145">
        <f>938-46</f>
        <v>892</v>
      </c>
      <c r="J99" s="145">
        <f>1166-46</f>
        <v>1120</v>
      </c>
      <c r="K99" s="145">
        <f>1253-46</f>
        <v>1207</v>
      </c>
      <c r="T99" s="109"/>
      <c r="U99" s="109"/>
      <c r="V99" s="109"/>
      <c r="W99" s="81"/>
    </row>
    <row r="100" spans="1:23" s="109" customFormat="1" ht="13.5" customHeight="1">
      <c r="A100" s="146" t="s">
        <v>64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16"/>
      <c r="N100" s="1"/>
      <c r="O100" s="1"/>
      <c r="P100" s="1"/>
      <c r="Q100" s="1"/>
      <c r="R100" s="1"/>
      <c r="S100" s="1"/>
      <c r="T100" s="77"/>
      <c r="U100" s="77"/>
      <c r="V100" s="77"/>
      <c r="W100" s="1"/>
    </row>
    <row r="101" spans="20:22" ht="13.5" customHeight="1">
      <c r="T101" s="64"/>
      <c r="U101" s="64"/>
      <c r="V101" s="64"/>
    </row>
    <row r="102" spans="9:23" ht="13.5" customHeight="1">
      <c r="I102" s="64"/>
      <c r="J102" s="64"/>
      <c r="K102" s="64"/>
      <c r="L102" s="64"/>
      <c r="M102" s="64"/>
      <c r="W102" s="64"/>
    </row>
    <row r="103" ht="13.5" customHeight="1">
      <c r="X103" s="64"/>
    </row>
    <row r="104" ht="31.5" customHeight="1"/>
    <row r="109" spans="14:19" ht="13.5" customHeight="1">
      <c r="N109" s="64"/>
      <c r="R109" s="64"/>
      <c r="S109" s="64"/>
    </row>
    <row r="110" spans="15:17" ht="13.5" customHeight="1">
      <c r="O110" s="64"/>
      <c r="P110" s="64"/>
      <c r="Q110" s="64"/>
    </row>
    <row r="113" spans="20:22" ht="13.5" customHeight="1">
      <c r="T113" s="64"/>
      <c r="U113" s="64"/>
      <c r="V113" s="64"/>
    </row>
    <row r="114" spans="9:23" ht="13.5" customHeight="1">
      <c r="I114" s="64"/>
      <c r="J114" s="64"/>
      <c r="K114" s="64"/>
      <c r="L114" s="64"/>
      <c r="M114" s="64"/>
      <c r="W114" s="64"/>
    </row>
    <row r="115" ht="13.5" customHeight="1">
      <c r="X115" s="64"/>
    </row>
    <row r="116" ht="36" customHeight="1"/>
    <row r="120" spans="14:19" ht="13.5" customHeight="1">
      <c r="N120" s="64"/>
      <c r="R120" s="64"/>
      <c r="S120" s="64"/>
    </row>
    <row r="121" spans="15:17" ht="13.5" customHeight="1">
      <c r="O121" s="64"/>
      <c r="P121" s="64"/>
      <c r="Q121" s="64"/>
    </row>
    <row r="124" spans="20:22" ht="13.5" customHeight="1">
      <c r="T124" s="64"/>
      <c r="U124" s="64"/>
      <c r="V124" s="64"/>
    </row>
    <row r="125" spans="9:23" ht="13.5" customHeight="1">
      <c r="I125" s="64"/>
      <c r="J125" s="64"/>
      <c r="K125" s="64"/>
      <c r="L125" s="64"/>
      <c r="M125" s="64"/>
      <c r="W125" s="64"/>
    </row>
    <row r="126" ht="13.5" customHeight="1">
      <c r="X126" s="64"/>
    </row>
    <row r="127" ht="33.75" customHeight="1"/>
    <row r="131" spans="14:19" ht="13.5" customHeight="1">
      <c r="N131" s="64"/>
      <c r="R131" s="64"/>
      <c r="S131" s="64"/>
    </row>
    <row r="132" spans="15:17" ht="13.5" customHeight="1">
      <c r="O132" s="64"/>
      <c r="P132" s="64"/>
      <c r="Q132" s="64"/>
    </row>
    <row r="135" spans="20:22" ht="13.5" customHeight="1">
      <c r="T135" s="64"/>
      <c r="U135" s="64"/>
      <c r="V135" s="64"/>
    </row>
    <row r="136" spans="9:23" ht="13.5" customHeight="1">
      <c r="I136" s="64"/>
      <c r="J136" s="64"/>
      <c r="K136" s="64"/>
      <c r="L136" s="64"/>
      <c r="M136" s="64"/>
      <c r="W136" s="64"/>
    </row>
    <row r="137" ht="13.5" customHeight="1">
      <c r="X137" s="64"/>
    </row>
    <row r="138" ht="27.75" customHeight="1"/>
    <row r="141" spans="14:19" ht="13.5" customHeight="1">
      <c r="N141" s="64"/>
      <c r="R141" s="64"/>
      <c r="S141" s="64"/>
    </row>
    <row r="142" spans="15:17" ht="13.5" customHeight="1">
      <c r="O142" s="64"/>
      <c r="P142" s="64"/>
      <c r="Q142" s="64"/>
    </row>
    <row r="145" spans="20:22" ht="13.5" customHeight="1">
      <c r="T145" s="64"/>
      <c r="U145" s="64"/>
      <c r="V145" s="64"/>
    </row>
    <row r="146" spans="1:25" s="190" customFormat="1" ht="15" customHeight="1">
      <c r="A146" s="189"/>
      <c r="B146" s="189"/>
      <c r="C146" s="189"/>
      <c r="D146" s="189"/>
      <c r="E146" s="189"/>
      <c r="F146" s="189"/>
      <c r="G146" s="189"/>
      <c r="H146" s="189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1"/>
      <c r="W146" s="64"/>
      <c r="X146" s="1"/>
      <c r="Y146" s="189"/>
    </row>
    <row r="147" ht="15" customHeight="1">
      <c r="X147" s="64"/>
    </row>
    <row r="148" ht="37.5" customHeight="1"/>
    <row r="152" spans="14:19" ht="13.5" customHeight="1">
      <c r="N152" s="64"/>
      <c r="R152" s="64"/>
      <c r="S152" s="64"/>
    </row>
    <row r="153" spans="14:19" ht="13.5" customHeight="1">
      <c r="N153" s="109"/>
      <c r="O153" s="64"/>
      <c r="P153" s="64"/>
      <c r="Q153" s="64"/>
      <c r="R153" s="109"/>
      <c r="S153" s="109"/>
    </row>
    <row r="154" spans="14:19" ht="13.5" customHeight="1">
      <c r="N154" s="109"/>
      <c r="O154" s="109"/>
      <c r="P154" s="109"/>
      <c r="Q154" s="109"/>
      <c r="R154" s="109"/>
      <c r="S154" s="109"/>
    </row>
    <row r="155" spans="14:21" ht="16.5" customHeight="1">
      <c r="N155" s="109"/>
      <c r="O155" s="109"/>
      <c r="P155" s="109"/>
      <c r="Q155" s="109"/>
      <c r="R155" s="109"/>
      <c r="S155" s="109"/>
      <c r="U155" s="189"/>
    </row>
    <row r="156" spans="14:22" ht="13.5" customHeight="1">
      <c r="N156" s="109"/>
      <c r="O156" s="109"/>
      <c r="P156" s="109"/>
      <c r="Q156" s="109"/>
      <c r="R156" s="109"/>
      <c r="S156" s="109"/>
      <c r="T156" s="64"/>
      <c r="U156" s="64"/>
      <c r="V156" s="64"/>
    </row>
    <row r="157" spans="9:23" ht="13.5" customHeight="1">
      <c r="I157" s="64"/>
      <c r="J157" s="64"/>
      <c r="K157" s="64"/>
      <c r="L157" s="64"/>
      <c r="M157" s="64"/>
      <c r="O157" s="109"/>
      <c r="P157" s="109"/>
      <c r="Q157" s="109"/>
      <c r="T157" s="109"/>
      <c r="U157" s="109"/>
      <c r="V157" s="109"/>
      <c r="W157" s="64"/>
    </row>
    <row r="158" spans="1:25" s="77" customFormat="1" ht="13.5" customHeight="1">
      <c r="A158" s="64"/>
      <c r="B158" s="64"/>
      <c r="C158" s="64"/>
      <c r="D158" s="64"/>
      <c r="E158" s="64"/>
      <c r="F158" s="64"/>
      <c r="G158" s="64"/>
      <c r="I158" s="191"/>
      <c r="J158" s="1"/>
      <c r="K158" s="1"/>
      <c r="L158" s="109"/>
      <c r="M158" s="109"/>
      <c r="N158" s="64"/>
      <c r="O158" s="1"/>
      <c r="P158" s="1"/>
      <c r="Q158" s="1"/>
      <c r="R158" s="64"/>
      <c r="S158" s="64"/>
      <c r="T158" s="109"/>
      <c r="U158" s="109"/>
      <c r="V158" s="109"/>
      <c r="W158" s="109"/>
      <c r="X158" s="64"/>
      <c r="Y158" s="64"/>
    </row>
    <row r="159" spans="9:23" ht="33" customHeight="1">
      <c r="I159" s="191"/>
      <c r="L159" s="109"/>
      <c r="M159" s="109"/>
      <c r="N159" s="109"/>
      <c r="O159" s="64"/>
      <c r="P159" s="64"/>
      <c r="Q159" s="64"/>
      <c r="R159" s="109"/>
      <c r="S159" s="109"/>
      <c r="T159" s="109"/>
      <c r="U159" s="109"/>
      <c r="V159" s="109"/>
      <c r="W159" s="109"/>
    </row>
    <row r="160" spans="9:23" ht="13.5" customHeight="1">
      <c r="I160" s="191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9:23" ht="13.5" customHeight="1">
      <c r="I161" s="191"/>
      <c r="L161" s="109"/>
      <c r="M161" s="109"/>
      <c r="N161" s="109"/>
      <c r="O161" s="109"/>
      <c r="P161" s="109"/>
      <c r="Q161" s="109"/>
      <c r="R161" s="109"/>
      <c r="S161" s="109"/>
      <c r="W161" s="109"/>
    </row>
    <row r="162" spans="14:22" ht="13.5" customHeight="1">
      <c r="N162" s="109"/>
      <c r="O162" s="109"/>
      <c r="P162" s="109"/>
      <c r="Q162" s="109"/>
      <c r="R162" s="109"/>
      <c r="S162" s="109"/>
      <c r="T162" s="64"/>
      <c r="U162" s="64"/>
      <c r="V162" s="64"/>
    </row>
    <row r="163" spans="9:23" ht="13.5" customHeight="1">
      <c r="I163" s="64"/>
      <c r="J163" s="64"/>
      <c r="K163" s="64"/>
      <c r="L163" s="64"/>
      <c r="M163" s="64"/>
      <c r="N163" s="109"/>
      <c r="O163" s="109"/>
      <c r="P163" s="109"/>
      <c r="Q163" s="109"/>
      <c r="R163" s="109"/>
      <c r="S163" s="109"/>
      <c r="T163" s="109"/>
      <c r="U163" s="109"/>
      <c r="V163" s="109"/>
      <c r="W163" s="64"/>
    </row>
    <row r="164" spans="10:24" ht="15.75" customHeight="1"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64"/>
    </row>
    <row r="165" spans="10:24" ht="25.5" customHeight="1"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</row>
    <row r="166" spans="10:24" ht="20.25" customHeight="1"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0:24" ht="13.5" customHeight="1"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0:24" ht="13.5" customHeight="1">
      <c r="J168" s="109"/>
      <c r="K168" s="109"/>
      <c r="L168" s="109"/>
      <c r="M168" s="109"/>
      <c r="O168" s="109"/>
      <c r="P168" s="109"/>
      <c r="Q168" s="109"/>
      <c r="T168" s="109"/>
      <c r="U168" s="109"/>
      <c r="V168" s="109"/>
      <c r="W168" s="109"/>
      <c r="X168" s="109"/>
    </row>
    <row r="169" spans="10:24" ht="13.5" customHeight="1">
      <c r="J169" s="109"/>
      <c r="K169" s="109"/>
      <c r="L169" s="109"/>
      <c r="M169" s="109"/>
      <c r="N169" s="64"/>
      <c r="R169" s="64"/>
      <c r="S169" s="64"/>
      <c r="T169" s="109"/>
      <c r="U169" s="109"/>
      <c r="V169" s="109"/>
      <c r="W169" s="109"/>
      <c r="X169" s="109"/>
    </row>
    <row r="170" spans="10:24" ht="13.5" customHeight="1">
      <c r="J170" s="109"/>
      <c r="K170" s="109"/>
      <c r="L170" s="109"/>
      <c r="M170" s="109"/>
      <c r="N170" s="109"/>
      <c r="O170" s="64"/>
      <c r="P170" s="64"/>
      <c r="Q170" s="64"/>
      <c r="R170" s="109"/>
      <c r="S170" s="109"/>
      <c r="T170" s="109"/>
      <c r="U170" s="109"/>
      <c r="V170" s="109"/>
      <c r="W170" s="109"/>
      <c r="X170" s="109"/>
    </row>
    <row r="171" spans="10:24" ht="13.5" customHeight="1"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spans="10:24" ht="13.5" customHeight="1"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W172" s="109"/>
      <c r="X172" s="109"/>
    </row>
    <row r="173" spans="14:24" ht="13.5" customHeight="1">
      <c r="N173" s="109"/>
      <c r="O173" s="109"/>
      <c r="P173" s="109"/>
      <c r="Q173" s="109"/>
      <c r="R173" s="109"/>
      <c r="S173" s="109"/>
      <c r="T173" s="64"/>
      <c r="U173" s="64"/>
      <c r="V173" s="64"/>
      <c r="X173" s="109"/>
    </row>
    <row r="174" spans="9:23" ht="13.5" customHeight="1">
      <c r="I174" s="64"/>
      <c r="J174" s="64"/>
      <c r="K174" s="64"/>
      <c r="L174" s="64"/>
      <c r="M174" s="64"/>
      <c r="N174" s="109"/>
      <c r="O174" s="109"/>
      <c r="P174" s="109"/>
      <c r="Q174" s="109"/>
      <c r="R174" s="109"/>
      <c r="S174" s="109"/>
      <c r="T174" s="109"/>
      <c r="U174" s="109"/>
      <c r="V174" s="109"/>
      <c r="W174" s="64"/>
    </row>
    <row r="175" spans="10:24" ht="13.5" customHeight="1"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64"/>
    </row>
    <row r="176" spans="10:24" ht="42" customHeight="1"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0:24" ht="13.5" customHeight="1"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0:24" ht="13.5" customHeight="1">
      <c r="J178" s="109"/>
      <c r="K178" s="109"/>
      <c r="L178" s="109"/>
      <c r="M178" s="109"/>
      <c r="O178" s="109"/>
      <c r="P178" s="109"/>
      <c r="Q178" s="109"/>
      <c r="R178" s="192"/>
      <c r="S178" s="192"/>
      <c r="T178" s="109"/>
      <c r="U178" s="109"/>
      <c r="V178" s="109"/>
      <c r="W178" s="109"/>
      <c r="X178" s="109"/>
    </row>
    <row r="179" spans="10:24" ht="13.5" customHeight="1">
      <c r="J179" s="109"/>
      <c r="K179" s="109"/>
      <c r="L179" s="109"/>
      <c r="M179" s="109"/>
      <c r="N179" s="64"/>
      <c r="R179" s="64"/>
      <c r="S179" s="64"/>
      <c r="T179" s="109"/>
      <c r="U179" s="109"/>
      <c r="V179" s="109"/>
      <c r="W179" s="109"/>
      <c r="X179" s="109"/>
    </row>
    <row r="180" spans="10:24" ht="13.5" customHeight="1">
      <c r="J180" s="109"/>
      <c r="K180" s="109"/>
      <c r="L180" s="109"/>
      <c r="M180" s="109"/>
      <c r="N180" s="109"/>
      <c r="O180" s="64"/>
      <c r="P180" s="64"/>
      <c r="Q180" s="64"/>
      <c r="R180" s="109"/>
      <c r="S180" s="109"/>
      <c r="T180" s="109"/>
      <c r="U180" s="109"/>
      <c r="V180" s="109"/>
      <c r="W180" s="109"/>
      <c r="X180" s="109"/>
    </row>
    <row r="181" spans="10:24" ht="13.5" customHeight="1"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0:24" ht="13.5" customHeight="1"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92"/>
      <c r="W182" s="109"/>
      <c r="X182" s="109"/>
    </row>
    <row r="183" spans="14:24" ht="13.5" customHeight="1">
      <c r="N183" s="109"/>
      <c r="O183" s="109"/>
      <c r="P183" s="109"/>
      <c r="Q183" s="109"/>
      <c r="R183" s="109"/>
      <c r="S183" s="109"/>
      <c r="T183" s="64"/>
      <c r="U183" s="64"/>
      <c r="V183" s="64"/>
      <c r="X183" s="109"/>
    </row>
    <row r="184" spans="9:23" ht="13.5" customHeight="1">
      <c r="I184" s="64"/>
      <c r="J184" s="64"/>
      <c r="K184" s="64"/>
      <c r="L184" s="64"/>
      <c r="M184" s="64"/>
      <c r="N184" s="109"/>
      <c r="O184" s="109"/>
      <c r="P184" s="109"/>
      <c r="Q184" s="109"/>
      <c r="R184" s="109"/>
      <c r="S184" s="109"/>
      <c r="T184" s="109"/>
      <c r="U184" s="109"/>
      <c r="V184" s="109"/>
      <c r="W184" s="64"/>
    </row>
    <row r="185" spans="10:24" ht="15" customHeight="1"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64"/>
    </row>
    <row r="186" spans="10:24" ht="33.75" customHeight="1"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</row>
    <row r="187" spans="10:24" ht="13.5" customHeight="1"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10:24" ht="13.5" customHeight="1"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10:24" ht="13.5" customHeight="1"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</row>
    <row r="190" spans="10:24" ht="13.5" customHeight="1">
      <c r="J190" s="109"/>
      <c r="K190" s="109"/>
      <c r="L190" s="109"/>
      <c r="M190" s="109"/>
      <c r="N190" s="64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0:24" ht="13.5" customHeight="1">
      <c r="J191" s="109"/>
      <c r="K191" s="109"/>
      <c r="L191" s="109"/>
      <c r="M191" s="109"/>
      <c r="O191" s="64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0:24" ht="13.5" customHeight="1">
      <c r="J192" s="109"/>
      <c r="K192" s="109"/>
      <c r="L192" s="109"/>
      <c r="M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0:24" ht="13.5" customHeight="1">
      <c r="J193" s="109"/>
      <c r="K193" s="109"/>
      <c r="L193" s="109"/>
      <c r="M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4" ht="13.5" customHeight="1">
      <c r="A194" s="144"/>
      <c r="B194" s="73"/>
      <c r="C194" s="74"/>
      <c r="D194" s="74"/>
      <c r="E194" s="74"/>
      <c r="F194" s="74"/>
      <c r="G194" s="74"/>
      <c r="H194" s="74"/>
      <c r="J194" s="109"/>
      <c r="K194" s="109"/>
      <c r="L194" s="109"/>
      <c r="M194" s="109"/>
      <c r="P194" s="109"/>
      <c r="Q194" s="109"/>
      <c r="R194" s="109"/>
      <c r="S194" s="109"/>
      <c r="T194" s="109"/>
      <c r="U194" s="109"/>
      <c r="V194" s="109"/>
      <c r="W194" s="109"/>
      <c r="X194" s="109"/>
    </row>
    <row r="195" spans="13:24" ht="13.5" customHeight="1">
      <c r="M195" s="64"/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16:24" ht="13.5" customHeight="1">
      <c r="P196" s="109"/>
      <c r="Q196" s="109"/>
      <c r="T196" s="109"/>
      <c r="U196" s="109"/>
      <c r="V196" s="109"/>
      <c r="W196" s="109"/>
      <c r="X196" s="109"/>
    </row>
    <row r="197" spans="14:24" ht="32.25" customHeight="1">
      <c r="N197" s="193"/>
      <c r="R197" s="193"/>
      <c r="S197" s="193"/>
      <c r="T197" s="109"/>
      <c r="U197" s="109"/>
      <c r="V197" s="109"/>
      <c r="W197" s="109"/>
      <c r="X197" s="109"/>
    </row>
    <row r="198" spans="15:24" ht="13.5" customHeight="1">
      <c r="O198" s="193"/>
      <c r="P198" s="193"/>
      <c r="Q198" s="193"/>
      <c r="T198" s="109"/>
      <c r="U198" s="109"/>
      <c r="V198" s="109"/>
      <c r="W198" s="109"/>
      <c r="X198" s="109"/>
    </row>
  </sheetData>
  <sheetProtection selectLockedCells="1" selectUnlockedCells="1"/>
  <mergeCells count="160">
    <mergeCell ref="A1:L1"/>
    <mergeCell ref="A2:L2"/>
    <mergeCell ref="A5:L5"/>
    <mergeCell ref="Q5:Y5"/>
    <mergeCell ref="A6:L6"/>
    <mergeCell ref="Q6:Y6"/>
    <mergeCell ref="A7:D7"/>
    <mergeCell ref="E7:G7"/>
    <mergeCell ref="A8:L8"/>
    <mergeCell ref="E9:G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C21"/>
    <mergeCell ref="D21:G21"/>
    <mergeCell ref="H21:L21"/>
    <mergeCell ref="A22:L22"/>
    <mergeCell ref="A23:L23"/>
    <mergeCell ref="A24:L24"/>
    <mergeCell ref="A25:L25"/>
    <mergeCell ref="A26:B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30:L30"/>
    <mergeCell ref="A31:L31"/>
    <mergeCell ref="A32:B32"/>
    <mergeCell ref="A36:L36"/>
    <mergeCell ref="A40:L40"/>
    <mergeCell ref="A41:B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46:L46"/>
    <mergeCell ref="A47:L47"/>
    <mergeCell ref="A48:B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A52:L52"/>
    <mergeCell ref="A54:L54"/>
    <mergeCell ref="A55:B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A59:J59"/>
    <mergeCell ref="A61:L61"/>
    <mergeCell ref="A62:B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A66:L66"/>
    <mergeCell ref="A68:L68"/>
    <mergeCell ref="A69:B69"/>
    <mergeCell ref="A72:L72"/>
    <mergeCell ref="A74:L74"/>
    <mergeCell ref="A75:B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A79:L79"/>
    <mergeCell ref="A81:L81"/>
    <mergeCell ref="A82:B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A86:L86"/>
    <mergeCell ref="A88:L88"/>
    <mergeCell ref="A89:B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A93:L93"/>
    <mergeCell ref="A95:L95"/>
    <mergeCell ref="A96:B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100:L100"/>
  </mergeCells>
  <printOptions/>
  <pageMargins left="0.1701388888888889" right="0.1597222222222222" top="0.24027777777777778" bottom="0.2701388888888889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Q81"/>
  <sheetViews>
    <sheetView workbookViewId="0" topLeftCell="A73">
      <pane ySplit="65535" topLeftCell="A73" activePane="topLeft" state="split"/>
      <selection pane="topLeft" activeCell="A82" sqref="A82"/>
      <selection pane="bottomLeft" activeCell="A73" sqref="A73"/>
    </sheetView>
  </sheetViews>
  <sheetFormatPr defaultColWidth="9.33203125" defaultRowHeight="11.25"/>
  <cols>
    <col min="1" max="1" width="18.16015625" style="1" customWidth="1"/>
    <col min="2" max="2" width="5.33203125" style="1" customWidth="1"/>
    <col min="3" max="4" width="9.83203125" style="1" customWidth="1"/>
    <col min="5" max="5" width="10" style="1" customWidth="1"/>
    <col min="6" max="6" width="10.16015625" style="1" customWidth="1"/>
    <col min="7" max="7" width="15.5" style="1" customWidth="1"/>
    <col min="8" max="8" width="10" style="1" customWidth="1"/>
    <col min="9" max="9" width="8.83203125" style="1" customWidth="1"/>
    <col min="10" max="10" width="10.33203125" style="1" customWidth="1"/>
    <col min="11" max="11" width="10" style="1" customWidth="1"/>
    <col min="12" max="12" width="9.66015625" style="1" customWidth="1"/>
    <col min="13" max="16384" width="9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6"/>
      <c r="N2" s="96"/>
    </row>
    <row r="3" spans="1:14" ht="14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0"/>
      <c r="N3" s="50"/>
    </row>
    <row r="4" spans="1:16" ht="18.75">
      <c r="A4" s="52" t="s">
        <v>52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53"/>
      <c r="N4" s="153"/>
      <c r="O4" s="154"/>
      <c r="P4" s="154"/>
    </row>
    <row r="5" spans="1:16" ht="18.75">
      <c r="A5" s="52" t="s">
        <v>53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53"/>
      <c r="N5" s="153"/>
      <c r="O5" s="194"/>
      <c r="P5" s="194"/>
    </row>
    <row r="6" spans="1:16" ht="27.75" customHeight="1">
      <c r="A6" s="54" t="s">
        <v>86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5"/>
      <c r="O6" s="154"/>
      <c r="P6" s="154"/>
    </row>
    <row r="7" spans="1:16" ht="25.5" customHeight="1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N7" s="57"/>
      <c r="O7" s="154"/>
      <c r="P7" s="154"/>
    </row>
    <row r="8" spans="1:17" ht="15.75">
      <c r="A8" s="62" t="s">
        <v>87</v>
      </c>
      <c r="B8" s="62"/>
      <c r="C8" s="62"/>
      <c r="D8" s="62"/>
      <c r="E8" s="59" t="s">
        <v>88</v>
      </c>
      <c r="F8" s="59"/>
      <c r="G8" s="59"/>
      <c r="H8" s="59"/>
      <c r="I8" s="59"/>
      <c r="J8" s="59"/>
      <c r="K8" s="59"/>
      <c r="L8" s="59"/>
      <c r="M8" s="156"/>
      <c r="N8" s="156"/>
      <c r="O8" s="156"/>
      <c r="P8" s="156"/>
      <c r="Q8" s="156"/>
    </row>
    <row r="9" spans="1:14" ht="15.75">
      <c r="A9" s="97" t="s">
        <v>258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158"/>
      <c r="N9" s="125"/>
    </row>
    <row r="10" spans="1:13" ht="15.75" customHeight="1">
      <c r="A10" s="2"/>
      <c r="B10" s="2"/>
      <c r="C10" s="195"/>
      <c r="D10" s="195"/>
      <c r="E10" s="58" t="s">
        <v>57</v>
      </c>
      <c r="F10" s="58"/>
      <c r="G10" s="195"/>
      <c r="H10" s="195"/>
      <c r="I10" s="195"/>
      <c r="J10" s="195"/>
      <c r="K10" s="195"/>
      <c r="L10" s="195"/>
      <c r="M10" s="196"/>
    </row>
    <row r="11" spans="1:16" ht="15.75">
      <c r="A11" s="97" t="s">
        <v>259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158"/>
      <c r="O11" s="155"/>
      <c r="P11" s="155"/>
    </row>
    <row r="12" spans="1:16" ht="15.75">
      <c r="A12" s="97" t="s">
        <v>260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O12" s="197"/>
      <c r="P12" s="197"/>
    </row>
    <row r="13" spans="1:16" ht="15.75">
      <c r="A13" s="97" t="s">
        <v>174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58"/>
      <c r="O13" s="197"/>
      <c r="P13" s="197"/>
    </row>
    <row r="14" spans="1:16" ht="15.75" customHeight="1">
      <c r="A14" s="128" t="s">
        <v>175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58"/>
      <c r="O14" s="197"/>
      <c r="P14" s="197"/>
    </row>
    <row r="15" spans="1:16" ht="15.75" customHeight="1">
      <c r="A15" s="97" t="s">
        <v>176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58"/>
      <c r="N15" s="158"/>
      <c r="O15" s="197"/>
      <c r="P15" s="197"/>
    </row>
    <row r="16" spans="1:16" ht="15.75" customHeight="1">
      <c r="A16" s="97" t="s">
        <v>177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58"/>
      <c r="O16" s="155"/>
      <c r="P16" s="155"/>
    </row>
    <row r="17" spans="1:13" ht="15.75" customHeight="1">
      <c r="A17" s="97" t="s">
        <v>178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58"/>
    </row>
    <row r="18" spans="1:13" ht="15.75" customHeight="1">
      <c r="A18" s="60" t="s">
        <v>261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158"/>
    </row>
    <row r="19" spans="1:13" ht="15.75">
      <c r="A19" s="97" t="s">
        <v>180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58"/>
    </row>
    <row r="20" spans="1:13" ht="15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58"/>
    </row>
    <row r="21" spans="1:14" ht="15.75" customHeight="1">
      <c r="A21" s="62" t="s">
        <v>60</v>
      </c>
      <c r="B21" s="62"/>
      <c r="C21" s="62"/>
      <c r="D21" s="60" t="s">
        <v>61</v>
      </c>
      <c r="E21" s="60"/>
      <c r="F21" s="60"/>
      <c r="G21" s="60"/>
      <c r="H21" s="198" t="s">
        <v>262</v>
      </c>
      <c r="I21" s="198"/>
      <c r="J21" s="198"/>
      <c r="K21" s="198"/>
      <c r="L21" s="198"/>
      <c r="M21" s="155"/>
      <c r="N21" s="155"/>
    </row>
    <row r="22" spans="1:14" ht="15.75">
      <c r="A22" s="60" t="s">
        <v>62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97"/>
      <c r="N22" s="197"/>
    </row>
    <row r="23" spans="1:14" ht="15.75">
      <c r="A23" s="60" t="s">
        <v>129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97"/>
      <c r="N23" s="197"/>
    </row>
    <row r="24" spans="1:14" ht="15.7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7"/>
      <c r="N24" s="197"/>
    </row>
    <row r="25" spans="1:12" ht="21.75" customHeight="1">
      <c r="A25" s="63" t="s">
        <v>263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3" ht="38.25" customHeight="1">
      <c r="A26" s="131" t="s">
        <v>66</v>
      </c>
      <c r="B26" s="131"/>
      <c r="C26" s="200" t="s">
        <v>264</v>
      </c>
      <c r="D26" s="200" t="s">
        <v>265</v>
      </c>
      <c r="E26" s="200" t="s">
        <v>266</v>
      </c>
      <c r="F26" s="200" t="s">
        <v>267</v>
      </c>
      <c r="G26" s="4"/>
      <c r="H26" s="4"/>
      <c r="I26" s="4"/>
      <c r="J26" s="4"/>
      <c r="K26" s="4"/>
      <c r="L26" s="4"/>
      <c r="M26" s="109"/>
    </row>
    <row r="27" spans="1:13" ht="15.75">
      <c r="A27" s="175" t="s">
        <v>148</v>
      </c>
      <c r="B27" s="70" t="s">
        <v>75</v>
      </c>
      <c r="C27" s="201">
        <f>1222-46</f>
        <v>1176</v>
      </c>
      <c r="D27" s="201">
        <f>1898-46</f>
        <v>1852</v>
      </c>
      <c r="E27" s="201">
        <f>1130-46</f>
        <v>1084</v>
      </c>
      <c r="F27" s="201">
        <f>1011-46</f>
        <v>965</v>
      </c>
      <c r="G27" s="4"/>
      <c r="H27" s="4"/>
      <c r="I27" s="4"/>
      <c r="J27" s="4"/>
      <c r="K27" s="4"/>
      <c r="L27" s="4"/>
      <c r="M27" s="109"/>
    </row>
    <row r="28" spans="1:13" ht="12.75" customHeight="1">
      <c r="A28" s="146" t="s">
        <v>64</v>
      </c>
      <c r="B28" s="146"/>
      <c r="C28" s="146"/>
      <c r="D28" s="146"/>
      <c r="E28" s="146"/>
      <c r="F28" s="146"/>
      <c r="G28" s="146"/>
      <c r="H28" s="146"/>
      <c r="I28" s="4"/>
      <c r="J28" s="4"/>
      <c r="K28" s="4"/>
      <c r="L28" s="4"/>
      <c r="M28" s="109"/>
    </row>
    <row r="29" spans="1:13" ht="20.25" customHeight="1">
      <c r="A29" s="202" t="s">
        <v>268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109"/>
    </row>
    <row r="30" spans="1:13" ht="36.75" customHeight="1">
      <c r="A30" s="131" t="s">
        <v>66</v>
      </c>
      <c r="B30" s="131"/>
      <c r="C30" s="203" t="s">
        <v>264</v>
      </c>
      <c r="D30" s="203" t="s">
        <v>269</v>
      </c>
      <c r="E30" s="203" t="s">
        <v>223</v>
      </c>
      <c r="F30" s="203" t="s">
        <v>270</v>
      </c>
      <c r="G30" s="4"/>
      <c r="H30" s="4"/>
      <c r="I30" s="4"/>
      <c r="J30" s="4"/>
      <c r="K30" s="4"/>
      <c r="L30" s="4"/>
      <c r="M30" s="109"/>
    </row>
    <row r="31" spans="1:12" ht="15.75" customHeight="1">
      <c r="A31" s="181" t="s">
        <v>109</v>
      </c>
      <c r="B31" s="204" t="s">
        <v>75</v>
      </c>
      <c r="C31" s="143">
        <v>1171</v>
      </c>
      <c r="D31" s="143">
        <v>1870</v>
      </c>
      <c r="E31" s="143">
        <v>1084</v>
      </c>
      <c r="F31" s="143">
        <v>933</v>
      </c>
      <c r="G31" s="4"/>
      <c r="H31" s="4"/>
      <c r="I31" s="4"/>
      <c r="J31" s="4"/>
      <c r="K31" s="4"/>
      <c r="L31" s="4"/>
    </row>
    <row r="32" spans="1:12" ht="15.75" customHeight="1">
      <c r="A32" s="182" t="s">
        <v>110</v>
      </c>
      <c r="B32" s="204"/>
      <c r="C32" s="143"/>
      <c r="D32" s="143"/>
      <c r="E32" s="143"/>
      <c r="F32" s="143"/>
      <c r="G32" s="4"/>
      <c r="H32" s="4"/>
      <c r="I32" s="4"/>
      <c r="J32" s="4"/>
      <c r="K32" s="4"/>
      <c r="L32" s="4"/>
    </row>
    <row r="33" spans="1:12" ht="15.75">
      <c r="A33" s="176">
        <v>40903</v>
      </c>
      <c r="B33" s="70" t="s">
        <v>75</v>
      </c>
      <c r="C33" s="205">
        <v>1266</v>
      </c>
      <c r="D33" s="205">
        <v>2059</v>
      </c>
      <c r="E33" s="205">
        <v>1164</v>
      </c>
      <c r="F33" s="205">
        <v>997</v>
      </c>
      <c r="G33" s="4"/>
      <c r="H33" s="4"/>
      <c r="I33" s="4"/>
      <c r="J33" s="4"/>
      <c r="K33" s="4"/>
      <c r="L33" s="4"/>
    </row>
    <row r="34" spans="1:12" ht="15.75">
      <c r="A34" s="176">
        <v>40910</v>
      </c>
      <c r="B34" s="70" t="s">
        <v>75</v>
      </c>
      <c r="C34" s="143">
        <v>1180</v>
      </c>
      <c r="D34" s="143">
        <v>1888</v>
      </c>
      <c r="E34" s="143">
        <v>1092</v>
      </c>
      <c r="F34" s="143">
        <v>939</v>
      </c>
      <c r="G34" s="4"/>
      <c r="H34" s="4"/>
      <c r="I34" s="4"/>
      <c r="J34" s="4"/>
      <c r="K34" s="4"/>
      <c r="L34" s="4"/>
    </row>
    <row r="35" spans="1:13" ht="12.75" customHeight="1">
      <c r="A35" s="183" t="s">
        <v>64</v>
      </c>
      <c r="B35" s="183"/>
      <c r="C35" s="183"/>
      <c r="D35" s="183"/>
      <c r="E35" s="183"/>
      <c r="F35" s="183"/>
      <c r="G35" s="183"/>
      <c r="H35" s="183"/>
      <c r="I35" s="4"/>
      <c r="J35" s="4"/>
      <c r="K35" s="4"/>
      <c r="L35" s="4"/>
      <c r="M35" s="109"/>
    </row>
    <row r="36" spans="1:12" ht="20.25" customHeight="1">
      <c r="A36" s="202" t="s">
        <v>271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</row>
    <row r="37" spans="1:13" ht="36.75" customHeight="1">
      <c r="A37" s="131" t="s">
        <v>66</v>
      </c>
      <c r="B37" s="131"/>
      <c r="C37" s="200" t="s">
        <v>264</v>
      </c>
      <c r="D37" s="200" t="s">
        <v>269</v>
      </c>
      <c r="E37" s="200" t="s">
        <v>223</v>
      </c>
      <c r="F37" s="200" t="s">
        <v>272</v>
      </c>
      <c r="G37" s="200" t="s">
        <v>273</v>
      </c>
      <c r="H37" s="4"/>
      <c r="I37" s="4"/>
      <c r="J37" s="4"/>
      <c r="K37" s="4"/>
      <c r="L37" s="4"/>
      <c r="M37" s="109"/>
    </row>
    <row r="38" spans="1:13" ht="12.75" customHeight="1">
      <c r="A38" s="181" t="s">
        <v>109</v>
      </c>
      <c r="B38" s="206" t="s">
        <v>75</v>
      </c>
      <c r="C38" s="207">
        <f>1261-46</f>
        <v>1215</v>
      </c>
      <c r="D38" s="207">
        <f>1988-46</f>
        <v>1942</v>
      </c>
      <c r="E38" s="207">
        <f>1168-46</f>
        <v>1122</v>
      </c>
      <c r="F38" s="207">
        <f>985-46</f>
        <v>939</v>
      </c>
      <c r="G38" s="207">
        <f>1069-46</f>
        <v>1023</v>
      </c>
      <c r="H38" s="4"/>
      <c r="I38" s="4"/>
      <c r="J38" s="4"/>
      <c r="K38" s="4"/>
      <c r="L38" s="4"/>
      <c r="M38" s="109"/>
    </row>
    <row r="39" spans="1:13" ht="12.75">
      <c r="A39" s="182" t="s">
        <v>110</v>
      </c>
      <c r="B39" s="206"/>
      <c r="C39" s="207"/>
      <c r="D39" s="207"/>
      <c r="E39" s="207"/>
      <c r="F39" s="207"/>
      <c r="G39" s="207"/>
      <c r="H39" s="4"/>
      <c r="I39" s="4"/>
      <c r="J39" s="4"/>
      <c r="K39" s="4"/>
      <c r="L39" s="4"/>
      <c r="M39" s="109"/>
    </row>
    <row r="40" spans="1:13" ht="12.75">
      <c r="A40" s="175" t="s">
        <v>111</v>
      </c>
      <c r="B40" s="206" t="s">
        <v>75</v>
      </c>
      <c r="C40" s="207">
        <f>1280-46</f>
        <v>1234</v>
      </c>
      <c r="D40" s="207">
        <f>2018-46</f>
        <v>1972</v>
      </c>
      <c r="E40" s="207">
        <f>1186-46</f>
        <v>1140</v>
      </c>
      <c r="F40" s="207">
        <f>998-46</f>
        <v>952</v>
      </c>
      <c r="G40" s="207">
        <f>1087-46</f>
        <v>1041</v>
      </c>
      <c r="H40" s="4"/>
      <c r="I40" s="4"/>
      <c r="J40" s="4"/>
      <c r="K40" s="4"/>
      <c r="L40" s="4"/>
      <c r="M40" s="109"/>
    </row>
    <row r="41" spans="1:13" ht="12.75" customHeight="1">
      <c r="A41" s="183" t="s">
        <v>64</v>
      </c>
      <c r="B41" s="183"/>
      <c r="C41" s="183"/>
      <c r="D41" s="183"/>
      <c r="E41" s="183"/>
      <c r="F41" s="183"/>
      <c r="G41" s="183"/>
      <c r="H41" s="183"/>
      <c r="I41" s="4"/>
      <c r="J41" s="4"/>
      <c r="K41" s="4"/>
      <c r="L41" s="4"/>
      <c r="M41" s="109"/>
    </row>
    <row r="42" spans="1:13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09"/>
    </row>
    <row r="43" spans="1:13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09"/>
    </row>
    <row r="44" spans="1:13" ht="21.75" customHeight="1">
      <c r="A44" s="63" t="s">
        <v>274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109"/>
    </row>
    <row r="45" spans="1:13" ht="36" customHeight="1">
      <c r="A45" s="131" t="s">
        <v>66</v>
      </c>
      <c r="B45" s="131"/>
      <c r="C45" s="200" t="s">
        <v>275</v>
      </c>
      <c r="D45" s="200" t="s">
        <v>269</v>
      </c>
      <c r="E45" s="200" t="s">
        <v>223</v>
      </c>
      <c r="F45" s="200" t="s">
        <v>267</v>
      </c>
      <c r="G45" s="4"/>
      <c r="H45" s="4"/>
      <c r="I45" s="4"/>
      <c r="J45" s="4"/>
      <c r="K45" s="4"/>
      <c r="L45" s="4"/>
      <c r="M45" s="109"/>
    </row>
    <row r="46" spans="1:13" ht="12.75" customHeight="1">
      <c r="A46" s="181" t="s">
        <v>109</v>
      </c>
      <c r="B46" s="208" t="s">
        <v>75</v>
      </c>
      <c r="C46" s="207">
        <f>1268-46</f>
        <v>1222</v>
      </c>
      <c r="D46" s="207">
        <f>2027-46</f>
        <v>1981</v>
      </c>
      <c r="E46" s="207">
        <f>1165-46</f>
        <v>1119</v>
      </c>
      <c r="F46" s="207">
        <f>1033-46</f>
        <v>987</v>
      </c>
      <c r="G46" s="4"/>
      <c r="H46" s="4"/>
      <c r="I46" s="4"/>
      <c r="J46" s="4"/>
      <c r="K46" s="4"/>
      <c r="L46" s="4"/>
      <c r="M46" s="109"/>
    </row>
    <row r="47" spans="1:13" ht="12.75">
      <c r="A47" s="182" t="s">
        <v>110</v>
      </c>
      <c r="B47" s="208"/>
      <c r="C47" s="207"/>
      <c r="D47" s="207"/>
      <c r="E47" s="207"/>
      <c r="F47" s="207"/>
      <c r="G47" s="4"/>
      <c r="H47" s="4"/>
      <c r="I47" s="4"/>
      <c r="J47" s="4"/>
      <c r="K47" s="4"/>
      <c r="L47" s="4"/>
      <c r="M47" s="109"/>
    </row>
    <row r="48" spans="1:13" ht="12.75">
      <c r="A48" s="175" t="s">
        <v>111</v>
      </c>
      <c r="B48" s="208" t="s">
        <v>75</v>
      </c>
      <c r="C48" s="207">
        <f>1286-46</f>
        <v>1240</v>
      </c>
      <c r="D48" s="207">
        <f>2060-46</f>
        <v>2014</v>
      </c>
      <c r="E48" s="207">
        <f>1181-46</f>
        <v>1135</v>
      </c>
      <c r="F48" s="207">
        <f>1045-46</f>
        <v>999</v>
      </c>
      <c r="G48" s="4"/>
      <c r="H48" s="4"/>
      <c r="I48" s="4"/>
      <c r="J48" s="4"/>
      <c r="K48" s="4"/>
      <c r="L48" s="4"/>
      <c r="M48" s="109"/>
    </row>
    <row r="49" spans="1:13" ht="12.75" customHeight="1">
      <c r="A49" s="183" t="s">
        <v>64</v>
      </c>
      <c r="B49" s="183"/>
      <c r="C49" s="183"/>
      <c r="D49" s="183"/>
      <c r="E49" s="183"/>
      <c r="F49" s="183"/>
      <c r="G49" s="183"/>
      <c r="H49" s="183"/>
      <c r="I49" s="4"/>
      <c r="J49" s="4"/>
      <c r="K49" s="4"/>
      <c r="L49" s="4"/>
      <c r="M49" s="109"/>
    </row>
    <row r="50" spans="1:13" ht="12.75">
      <c r="A50" s="133"/>
      <c r="B50" s="133"/>
      <c r="C50" s="133"/>
      <c r="D50" s="133"/>
      <c r="E50" s="133"/>
      <c r="F50" s="133"/>
      <c r="G50" s="133"/>
      <c r="H50" s="4"/>
      <c r="I50" s="4"/>
      <c r="J50" s="4"/>
      <c r="K50" s="4"/>
      <c r="L50" s="4"/>
      <c r="M50" s="109"/>
    </row>
    <row r="51" spans="1:13" ht="20.25" customHeight="1">
      <c r="A51" s="63" t="s">
        <v>276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109"/>
    </row>
    <row r="52" spans="1:13" ht="36.75" customHeight="1">
      <c r="A52" s="131" t="s">
        <v>66</v>
      </c>
      <c r="B52" s="131"/>
      <c r="C52" s="209" t="s">
        <v>277</v>
      </c>
      <c r="D52" s="209" t="s">
        <v>278</v>
      </c>
      <c r="E52" s="209" t="s">
        <v>241</v>
      </c>
      <c r="F52" s="209" t="s">
        <v>279</v>
      </c>
      <c r="G52" s="200" t="s">
        <v>280</v>
      </c>
      <c r="H52" s="4"/>
      <c r="I52" s="4"/>
      <c r="J52" s="4"/>
      <c r="K52" s="4"/>
      <c r="L52" s="4"/>
      <c r="M52" s="109"/>
    </row>
    <row r="53" spans="1:13" ht="12.75" customHeight="1">
      <c r="A53" s="181" t="s">
        <v>109</v>
      </c>
      <c r="B53" s="210" t="s">
        <v>75</v>
      </c>
      <c r="C53" s="207">
        <f>1277-46</f>
        <v>1231</v>
      </c>
      <c r="D53" s="207">
        <f>2012-46</f>
        <v>1966</v>
      </c>
      <c r="E53" s="207">
        <f>1182-46</f>
        <v>1136</v>
      </c>
      <c r="F53" s="207">
        <f>996-46</f>
        <v>950</v>
      </c>
      <c r="G53" s="207">
        <f>1083-46</f>
        <v>1037</v>
      </c>
      <c r="H53" s="4"/>
      <c r="I53" s="4"/>
      <c r="J53" s="4"/>
      <c r="K53" s="4"/>
      <c r="L53" s="4"/>
      <c r="M53" s="109"/>
    </row>
    <row r="54" spans="1:13" ht="12.75">
      <c r="A54" s="182" t="s">
        <v>110</v>
      </c>
      <c r="B54" s="210"/>
      <c r="C54" s="207"/>
      <c r="D54" s="207"/>
      <c r="E54" s="207"/>
      <c r="F54" s="207"/>
      <c r="G54" s="207"/>
      <c r="H54" s="4"/>
      <c r="I54" s="4"/>
      <c r="J54" s="4"/>
      <c r="K54" s="4"/>
      <c r="L54" s="4"/>
      <c r="M54" s="109"/>
    </row>
    <row r="55" spans="1:13" ht="12.75">
      <c r="A55" s="175" t="s">
        <v>111</v>
      </c>
      <c r="B55" s="210" t="s">
        <v>75</v>
      </c>
      <c r="C55" s="207">
        <f>1312-46</f>
        <v>1266</v>
      </c>
      <c r="D55" s="207">
        <f>2072-46</f>
        <v>2026</v>
      </c>
      <c r="E55" s="207">
        <f>1216-46</f>
        <v>1170</v>
      </c>
      <c r="F55" s="207">
        <f>1019-46</f>
        <v>973</v>
      </c>
      <c r="G55" s="207">
        <f>1117-46</f>
        <v>1071</v>
      </c>
      <c r="H55" s="4"/>
      <c r="I55" s="4"/>
      <c r="J55" s="4"/>
      <c r="K55" s="4"/>
      <c r="L55" s="4"/>
      <c r="M55" s="109"/>
    </row>
    <row r="56" spans="1:13" ht="12.75" customHeight="1">
      <c r="A56" s="183" t="s">
        <v>64</v>
      </c>
      <c r="B56" s="183"/>
      <c r="C56" s="183"/>
      <c r="D56" s="183"/>
      <c r="E56" s="183"/>
      <c r="F56" s="183"/>
      <c r="G56" s="183"/>
      <c r="H56" s="183"/>
      <c r="I56" s="4"/>
      <c r="J56" s="4"/>
      <c r="K56" s="4"/>
      <c r="L56" s="4"/>
      <c r="M56" s="109"/>
    </row>
    <row r="57" spans="1:13" ht="20.25" customHeight="1">
      <c r="A57" s="180" t="s">
        <v>281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09"/>
    </row>
    <row r="58" spans="1:13" ht="36.75" customHeight="1">
      <c r="A58" s="131" t="s">
        <v>66</v>
      </c>
      <c r="B58" s="131"/>
      <c r="C58" s="200" t="s">
        <v>257</v>
      </c>
      <c r="D58" s="200" t="s">
        <v>200</v>
      </c>
      <c r="E58" s="200" t="s">
        <v>229</v>
      </c>
      <c r="F58" s="200" t="s">
        <v>217</v>
      </c>
      <c r="G58" s="200" t="s">
        <v>282</v>
      </c>
      <c r="H58" s="200" t="s">
        <v>223</v>
      </c>
      <c r="I58" s="200" t="s">
        <v>232</v>
      </c>
      <c r="J58" s="200" t="s">
        <v>283</v>
      </c>
      <c r="K58" s="200" t="s">
        <v>284</v>
      </c>
      <c r="L58" s="200" t="s">
        <v>285</v>
      </c>
      <c r="M58" s="109"/>
    </row>
    <row r="59" spans="1:13" ht="12.75">
      <c r="A59" s="175" t="s">
        <v>106</v>
      </c>
      <c r="B59" s="206" t="s">
        <v>75</v>
      </c>
      <c r="C59" s="207">
        <f>1318-46</f>
        <v>1272</v>
      </c>
      <c r="D59" s="207">
        <f>1456-46</f>
        <v>1410</v>
      </c>
      <c r="E59" s="207">
        <f>2084-46</f>
        <v>2038</v>
      </c>
      <c r="F59" s="207">
        <f>2222-46</f>
        <v>2176</v>
      </c>
      <c r="G59" s="207">
        <f>1215-46</f>
        <v>1169</v>
      </c>
      <c r="H59" s="207">
        <f>1353-46</f>
        <v>1307</v>
      </c>
      <c r="I59" s="207">
        <f>1056-46</f>
        <v>1010</v>
      </c>
      <c r="J59" s="207">
        <f>1116-46</f>
        <v>1070</v>
      </c>
      <c r="K59" s="207">
        <f>1172-46</f>
        <v>1126</v>
      </c>
      <c r="L59" s="207">
        <f>1254-46</f>
        <v>1208</v>
      </c>
      <c r="M59" s="109"/>
    </row>
    <row r="60" spans="1:13" ht="12.75">
      <c r="A60" s="175" t="s">
        <v>77</v>
      </c>
      <c r="B60" s="206" t="s">
        <v>75</v>
      </c>
      <c r="C60" s="207">
        <f>1274-46</f>
        <v>1228</v>
      </c>
      <c r="D60" s="207">
        <f>1412-46</f>
        <v>1366</v>
      </c>
      <c r="E60" s="207">
        <f>2009-46</f>
        <v>1963</v>
      </c>
      <c r="F60" s="207">
        <f>2147-46</f>
        <v>2101</v>
      </c>
      <c r="G60" s="207">
        <f>1174-46</f>
        <v>1128</v>
      </c>
      <c r="H60" s="207">
        <f>1312-46</f>
        <v>1266</v>
      </c>
      <c r="I60" s="207">
        <f>1024-46</f>
        <v>978</v>
      </c>
      <c r="J60" s="207">
        <f>1075-46</f>
        <v>1029</v>
      </c>
      <c r="K60" s="207">
        <f>1140-46</f>
        <v>1094</v>
      </c>
      <c r="L60" s="207">
        <f>1213-46</f>
        <v>1167</v>
      </c>
      <c r="M60" s="109"/>
    </row>
    <row r="61" spans="1:13" ht="12.75" customHeight="1">
      <c r="A61" s="183" t="s">
        <v>64</v>
      </c>
      <c r="B61" s="183"/>
      <c r="C61" s="183"/>
      <c r="D61" s="183"/>
      <c r="E61" s="183"/>
      <c r="F61" s="183"/>
      <c r="G61" s="183"/>
      <c r="H61" s="183"/>
      <c r="I61" s="74"/>
      <c r="J61" s="74"/>
      <c r="K61" s="74"/>
      <c r="L61" s="74"/>
      <c r="M61" s="109"/>
    </row>
    <row r="62" spans="1:13" ht="21" customHeight="1">
      <c r="A62" s="63" t="s">
        <v>286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109"/>
    </row>
    <row r="63" spans="1:12" ht="36.75" customHeight="1">
      <c r="A63" s="131" t="s">
        <v>66</v>
      </c>
      <c r="B63" s="131"/>
      <c r="C63" s="200" t="s">
        <v>249</v>
      </c>
      <c r="D63" s="200" t="s">
        <v>200</v>
      </c>
      <c r="E63" s="200" t="s">
        <v>251</v>
      </c>
      <c r="F63" s="200" t="s">
        <v>217</v>
      </c>
      <c r="G63" s="200" t="s">
        <v>282</v>
      </c>
      <c r="H63" s="200" t="s">
        <v>223</v>
      </c>
      <c r="I63" s="200" t="s">
        <v>233</v>
      </c>
      <c r="J63" s="200" t="s">
        <v>287</v>
      </c>
      <c r="K63" s="200" t="s">
        <v>285</v>
      </c>
      <c r="L63" s="4"/>
    </row>
    <row r="64" spans="1:12" ht="12.75" customHeight="1">
      <c r="A64" s="181" t="s">
        <v>109</v>
      </c>
      <c r="B64" s="206" t="s">
        <v>75</v>
      </c>
      <c r="C64" s="211">
        <f>1429-46</f>
        <v>1383</v>
      </c>
      <c r="D64" s="211">
        <f>1546-46</f>
        <v>1500</v>
      </c>
      <c r="E64" s="211">
        <f>2273-46</f>
        <v>2227</v>
      </c>
      <c r="F64" s="211">
        <f>2390-46</f>
        <v>2344</v>
      </c>
      <c r="G64" s="211">
        <f>1304-467</f>
        <v>837</v>
      </c>
      <c r="H64" s="211">
        <f>1421-46</f>
        <v>1375</v>
      </c>
      <c r="I64" s="211">
        <f>1097-46</f>
        <v>1051</v>
      </c>
      <c r="J64" s="211">
        <f>1195-46</f>
        <v>1149</v>
      </c>
      <c r="K64" s="211">
        <f>1214-46</f>
        <v>1168</v>
      </c>
      <c r="L64" s="4"/>
    </row>
    <row r="65" spans="1:12" ht="12.75">
      <c r="A65" s="182" t="s">
        <v>110</v>
      </c>
      <c r="B65" s="206"/>
      <c r="C65" s="211"/>
      <c r="D65" s="211"/>
      <c r="E65" s="211"/>
      <c r="F65" s="211"/>
      <c r="G65" s="211"/>
      <c r="H65" s="211"/>
      <c r="I65" s="211"/>
      <c r="J65" s="211"/>
      <c r="K65" s="211"/>
      <c r="L65" s="4"/>
    </row>
    <row r="66" spans="1:12" ht="12.75">
      <c r="A66" s="175" t="s">
        <v>111</v>
      </c>
      <c r="B66" s="206" t="s">
        <v>75</v>
      </c>
      <c r="C66" s="211">
        <f>1456-46</f>
        <v>1410</v>
      </c>
      <c r="D66" s="211">
        <f>1573-46</f>
        <v>1527</v>
      </c>
      <c r="E66" s="211">
        <f>2315-46</f>
        <v>2269</v>
      </c>
      <c r="F66" s="211">
        <f>2432-46</f>
        <v>2386</v>
      </c>
      <c r="G66" s="211">
        <f>1327-46</f>
        <v>1281</v>
      </c>
      <c r="H66" s="211">
        <f>1444-46</f>
        <v>1398</v>
      </c>
      <c r="I66" s="211">
        <f>1115-46</f>
        <v>1069</v>
      </c>
      <c r="J66" s="211">
        <f>1213-46</f>
        <v>1167</v>
      </c>
      <c r="K66" s="211">
        <f>1232-46</f>
        <v>1186</v>
      </c>
      <c r="L66" s="4"/>
    </row>
    <row r="67" spans="1:13" ht="12.75" customHeight="1">
      <c r="A67" s="183" t="s">
        <v>64</v>
      </c>
      <c r="B67" s="183"/>
      <c r="C67" s="183"/>
      <c r="D67" s="183"/>
      <c r="E67" s="183"/>
      <c r="F67" s="183"/>
      <c r="G67" s="183"/>
      <c r="H67" s="183"/>
      <c r="I67" s="74"/>
      <c r="J67" s="74"/>
      <c r="K67" s="74"/>
      <c r="L67" s="4"/>
      <c r="M67" s="109"/>
    </row>
    <row r="68" spans="1:13" ht="19.5" customHeight="1">
      <c r="A68" s="63" t="s">
        <v>288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109"/>
    </row>
    <row r="69" spans="1:12" ht="38.25" customHeight="1">
      <c r="A69" s="131" t="s">
        <v>66</v>
      </c>
      <c r="B69" s="131"/>
      <c r="C69" s="200" t="s">
        <v>249</v>
      </c>
      <c r="D69" s="200" t="s">
        <v>200</v>
      </c>
      <c r="E69" s="200" t="s">
        <v>251</v>
      </c>
      <c r="F69" s="200" t="s">
        <v>217</v>
      </c>
      <c r="G69" s="200" t="s">
        <v>282</v>
      </c>
      <c r="H69" s="200" t="s">
        <v>223</v>
      </c>
      <c r="I69" s="200" t="s">
        <v>289</v>
      </c>
      <c r="J69" s="200" t="s">
        <v>287</v>
      </c>
      <c r="K69" s="200" t="s">
        <v>285</v>
      </c>
      <c r="L69" s="4"/>
    </row>
    <row r="70" spans="1:12" ht="12.75" customHeight="1">
      <c r="A70" s="181" t="s">
        <v>109</v>
      </c>
      <c r="B70" s="210" t="s">
        <v>75</v>
      </c>
      <c r="C70" s="211">
        <f>1358-46</f>
        <v>1312</v>
      </c>
      <c r="D70" s="211">
        <f>1499-46</f>
        <v>1453</v>
      </c>
      <c r="E70" s="211">
        <f>2189-46</f>
        <v>2143</v>
      </c>
      <c r="F70" s="211">
        <f>2330-46</f>
        <v>2284</v>
      </c>
      <c r="G70" s="211">
        <f>1247-46</f>
        <v>1201</v>
      </c>
      <c r="H70" s="211">
        <f>1388-46</f>
        <v>1342</v>
      </c>
      <c r="I70" s="211">
        <f>1083-46</f>
        <v>1037</v>
      </c>
      <c r="J70" s="211">
        <f>1201-46</f>
        <v>1155</v>
      </c>
      <c r="K70" s="211">
        <f>1323-46</f>
        <v>1277</v>
      </c>
      <c r="L70" s="4"/>
    </row>
    <row r="71" spans="1:12" ht="12.75">
      <c r="A71" s="182" t="s">
        <v>110</v>
      </c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4"/>
    </row>
    <row r="72" spans="1:12" ht="12.75">
      <c r="A72" s="175" t="s">
        <v>111</v>
      </c>
      <c r="B72" s="210" t="s">
        <v>75</v>
      </c>
      <c r="C72" s="211">
        <f>1375-46</f>
        <v>1329</v>
      </c>
      <c r="D72" s="211">
        <f>1516-46</f>
        <v>1470</v>
      </c>
      <c r="E72" s="211">
        <f>2219-46</f>
        <v>2173</v>
      </c>
      <c r="F72" s="211">
        <f>2360-46</f>
        <v>2314</v>
      </c>
      <c r="G72" s="211">
        <f>1261-46</f>
        <v>1215</v>
      </c>
      <c r="H72" s="211">
        <f>1402-46</f>
        <v>1356</v>
      </c>
      <c r="I72" s="211">
        <f>1094-46</f>
        <v>1048</v>
      </c>
      <c r="J72" s="211">
        <f>1212-46</f>
        <v>1166</v>
      </c>
      <c r="K72" s="211">
        <f>1334-46</f>
        <v>1288</v>
      </c>
      <c r="L72" s="4"/>
    </row>
    <row r="73" spans="1:13" ht="12.75" customHeight="1">
      <c r="A73" s="183" t="s">
        <v>64</v>
      </c>
      <c r="B73" s="183"/>
      <c r="C73" s="183"/>
      <c r="D73" s="183"/>
      <c r="E73" s="183"/>
      <c r="F73" s="183"/>
      <c r="G73" s="183"/>
      <c r="H73" s="183"/>
      <c r="I73" s="74"/>
      <c r="J73" s="74"/>
      <c r="K73" s="74"/>
      <c r="L73" s="4"/>
      <c r="M73" s="109"/>
    </row>
    <row r="74" spans="1:13" ht="12.7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09"/>
    </row>
    <row r="75" spans="1:13" ht="21" customHeight="1">
      <c r="A75" s="63" t="s">
        <v>290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109"/>
    </row>
    <row r="76" spans="1:13" ht="36.75" customHeight="1">
      <c r="A76" s="131" t="s">
        <v>66</v>
      </c>
      <c r="B76" s="131"/>
      <c r="C76" s="200" t="s">
        <v>257</v>
      </c>
      <c r="D76" s="200" t="s">
        <v>200</v>
      </c>
      <c r="E76" s="200" t="s">
        <v>251</v>
      </c>
      <c r="F76" s="200" t="s">
        <v>217</v>
      </c>
      <c r="G76" s="200" t="s">
        <v>282</v>
      </c>
      <c r="H76" s="200" t="s">
        <v>223</v>
      </c>
      <c r="I76" s="200" t="s">
        <v>289</v>
      </c>
      <c r="J76" s="200" t="s">
        <v>287</v>
      </c>
      <c r="K76" s="200" t="s">
        <v>285</v>
      </c>
      <c r="L76" s="64"/>
      <c r="M76" s="109"/>
    </row>
    <row r="77" spans="1:13" ht="12.75" customHeight="1">
      <c r="A77" s="181" t="s">
        <v>109</v>
      </c>
      <c r="B77" s="206" t="s">
        <v>75</v>
      </c>
      <c r="C77" s="207">
        <f>1418-46</f>
        <v>1372</v>
      </c>
      <c r="D77" s="207">
        <f>1589-46</f>
        <v>1543</v>
      </c>
      <c r="E77" s="207">
        <f>2321-46</f>
        <v>2275</v>
      </c>
      <c r="F77" s="207">
        <f>2492-46</f>
        <v>2446</v>
      </c>
      <c r="G77" s="207">
        <f>1310-46</f>
        <v>1264</v>
      </c>
      <c r="H77" s="207">
        <f>1481-46</f>
        <v>1435</v>
      </c>
      <c r="I77" s="207">
        <f>1113-46</f>
        <v>1067</v>
      </c>
      <c r="J77" s="207">
        <f>1256-46</f>
        <v>1210</v>
      </c>
      <c r="K77" s="207">
        <f>1284-46</f>
        <v>1238</v>
      </c>
      <c r="L77" s="64"/>
      <c r="M77" s="109"/>
    </row>
    <row r="78" spans="1:13" ht="12.75">
      <c r="A78" s="182" t="s">
        <v>77</v>
      </c>
      <c r="B78" s="206"/>
      <c r="C78" s="207"/>
      <c r="D78" s="207"/>
      <c r="E78" s="207"/>
      <c r="F78" s="207"/>
      <c r="G78" s="207"/>
      <c r="H78" s="207"/>
      <c r="I78" s="207"/>
      <c r="J78" s="207"/>
      <c r="K78" s="207"/>
      <c r="L78" s="64"/>
      <c r="M78" s="109"/>
    </row>
    <row r="79" spans="1:13" ht="12.75">
      <c r="A79" s="176">
        <v>40903</v>
      </c>
      <c r="B79" s="206" t="s">
        <v>75</v>
      </c>
      <c r="C79" s="207">
        <f>1505-46</f>
        <v>1459</v>
      </c>
      <c r="D79" s="207">
        <f>1742-46</f>
        <v>1696</v>
      </c>
      <c r="E79" s="207">
        <f>2489-46</f>
        <v>2443</v>
      </c>
      <c r="F79" s="207">
        <f>2726-46</f>
        <v>2680</v>
      </c>
      <c r="G79" s="207">
        <f>1390-46</f>
        <v>1344</v>
      </c>
      <c r="H79" s="207">
        <f>1627-46</f>
        <v>1581</v>
      </c>
      <c r="I79" s="207">
        <f>1171-46</f>
        <v>1125</v>
      </c>
      <c r="J79" s="207">
        <f>1369-46</f>
        <v>1323</v>
      </c>
      <c r="K79" s="207">
        <f>1408-46</f>
        <v>1362</v>
      </c>
      <c r="L79" s="64"/>
      <c r="M79" s="109"/>
    </row>
    <row r="80" spans="1:13" ht="12.75" customHeight="1">
      <c r="A80" s="183" t="s">
        <v>64</v>
      </c>
      <c r="B80" s="183"/>
      <c r="C80" s="183"/>
      <c r="D80" s="183"/>
      <c r="E80" s="183"/>
      <c r="F80" s="183"/>
      <c r="G80" s="183"/>
      <c r="H80" s="183"/>
      <c r="I80" s="74"/>
      <c r="J80" s="74"/>
      <c r="K80" s="74"/>
      <c r="L80" s="64"/>
      <c r="M80" s="109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09"/>
    </row>
  </sheetData>
  <sheetProtection selectLockedCells="1" selectUnlockedCells="1"/>
  <mergeCells count="100">
    <mergeCell ref="A2:L2"/>
    <mergeCell ref="A3:L3"/>
    <mergeCell ref="A6:L6"/>
    <mergeCell ref="A7:L7"/>
    <mergeCell ref="A9:L9"/>
    <mergeCell ref="E10:F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D21:G21"/>
    <mergeCell ref="H21:L21"/>
    <mergeCell ref="A22:L22"/>
    <mergeCell ref="A23:L23"/>
    <mergeCell ref="A25:L25"/>
    <mergeCell ref="A26:B26"/>
    <mergeCell ref="A28:H28"/>
    <mergeCell ref="A29:L29"/>
    <mergeCell ref="A30:B30"/>
    <mergeCell ref="B31:B32"/>
    <mergeCell ref="C31:C32"/>
    <mergeCell ref="D31:D32"/>
    <mergeCell ref="E31:E32"/>
    <mergeCell ref="F31:F32"/>
    <mergeCell ref="A35:H35"/>
    <mergeCell ref="A36:L36"/>
    <mergeCell ref="A37:B37"/>
    <mergeCell ref="B38:B39"/>
    <mergeCell ref="C38:C39"/>
    <mergeCell ref="D38:D39"/>
    <mergeCell ref="E38:E39"/>
    <mergeCell ref="F38:F39"/>
    <mergeCell ref="G38:G39"/>
    <mergeCell ref="A41:H41"/>
    <mergeCell ref="A44:L44"/>
    <mergeCell ref="A45:B45"/>
    <mergeCell ref="B46:B47"/>
    <mergeCell ref="C46:C47"/>
    <mergeCell ref="D46:D47"/>
    <mergeCell ref="E46:E47"/>
    <mergeCell ref="F46:F47"/>
    <mergeCell ref="A49:H49"/>
    <mergeCell ref="A50:G50"/>
    <mergeCell ref="A51:L51"/>
    <mergeCell ref="A52:B52"/>
    <mergeCell ref="B53:B54"/>
    <mergeCell ref="C53:C54"/>
    <mergeCell ref="D53:D54"/>
    <mergeCell ref="E53:E54"/>
    <mergeCell ref="F53:F54"/>
    <mergeCell ref="G53:G54"/>
    <mergeCell ref="A56:H56"/>
    <mergeCell ref="A57:L57"/>
    <mergeCell ref="A58:B58"/>
    <mergeCell ref="A61:H61"/>
    <mergeCell ref="A62:L62"/>
    <mergeCell ref="A63:B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A67:H67"/>
    <mergeCell ref="A68:L68"/>
    <mergeCell ref="A69:B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A73:H73"/>
    <mergeCell ref="A74:L74"/>
    <mergeCell ref="A75:L75"/>
    <mergeCell ref="A76:B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A80:H80"/>
  </mergeCells>
  <printOptions/>
  <pageMargins left="0.1701388888888889" right="0.1597222222222222" top="0.25" bottom="0.2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N52"/>
  <sheetViews>
    <sheetView workbookViewId="0" topLeftCell="A1">
      <pane ySplit="65535" topLeftCell="A1" activePane="topLeft" state="split"/>
      <selection pane="topLeft" activeCell="A52" sqref="A52"/>
      <selection pane="bottomLeft" activeCell="A1" sqref="A1"/>
    </sheetView>
  </sheetViews>
  <sheetFormatPr defaultColWidth="9.33203125" defaultRowHeight="11.25"/>
  <cols>
    <col min="1" max="1" width="19.33203125" style="1" customWidth="1"/>
    <col min="2" max="2" width="6.16015625" style="1" customWidth="1"/>
    <col min="3" max="3" width="7.83203125" style="1" customWidth="1"/>
    <col min="4" max="4" width="11.16015625" style="1" customWidth="1"/>
    <col min="5" max="5" width="9" style="1" customWidth="1"/>
    <col min="6" max="6" width="10" style="1" customWidth="1"/>
    <col min="7" max="7" width="7.33203125" style="1" customWidth="1"/>
    <col min="8" max="8" width="10.5" style="1" customWidth="1"/>
    <col min="9" max="9" width="9.5" style="1" customWidth="1"/>
    <col min="10" max="10" width="10.5" style="1" customWidth="1"/>
    <col min="11" max="11" width="10.66015625" style="1" customWidth="1"/>
    <col min="12" max="12" width="16" style="1" customWidth="1"/>
    <col min="13" max="16384" width="9" style="1" customWidth="1"/>
  </cols>
  <sheetData>
    <row r="1" spans="1:12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.75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54"/>
      <c r="N3" s="154"/>
    </row>
    <row r="4" spans="1:14" ht="18.75">
      <c r="A4" s="52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54"/>
      <c r="N4" s="154"/>
    </row>
    <row r="5" spans="1:14" ht="30" customHeight="1">
      <c r="A5" s="54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81"/>
      <c r="N5" s="81"/>
    </row>
    <row r="6" spans="1:14" ht="29.2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81"/>
      <c r="N6" s="81"/>
    </row>
    <row r="7" spans="1:14" ht="15.75" customHeight="1">
      <c r="A7" s="62" t="s">
        <v>87</v>
      </c>
      <c r="B7" s="62"/>
      <c r="C7" s="62"/>
      <c r="D7" s="62"/>
      <c r="E7" s="62" t="s">
        <v>88</v>
      </c>
      <c r="F7" s="62"/>
      <c r="G7" s="62"/>
      <c r="H7" s="62"/>
      <c r="I7" s="62"/>
      <c r="J7" s="62"/>
      <c r="K7" s="62"/>
      <c r="L7" s="62"/>
      <c r="M7" s="197"/>
      <c r="N7" s="197"/>
    </row>
    <row r="8" spans="1:14" ht="15.75">
      <c r="A8" s="97" t="s">
        <v>291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197"/>
      <c r="N8" s="197"/>
    </row>
    <row r="9" spans="1:14" ht="15.75" customHeight="1">
      <c r="A9" s="2"/>
      <c r="B9" s="2"/>
      <c r="C9" s="28"/>
      <c r="D9" s="28"/>
      <c r="E9" s="58" t="s">
        <v>57</v>
      </c>
      <c r="F9" s="58"/>
      <c r="G9" s="28"/>
      <c r="H9" s="28"/>
      <c r="I9" s="2"/>
      <c r="J9" s="2"/>
      <c r="K9" s="2"/>
      <c r="L9" s="2"/>
      <c r="M9" s="155"/>
      <c r="N9" s="155"/>
    </row>
    <row r="10" spans="1:12" ht="15.75">
      <c r="A10" s="60" t="s">
        <v>177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.75">
      <c r="A11" s="60" t="s">
        <v>178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5.75">
      <c r="A12" s="60" t="s">
        <v>261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5.75">
      <c r="A13" s="60" t="s">
        <v>180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.75" customHeight="1">
      <c r="A14" s="62" t="s">
        <v>60</v>
      </c>
      <c r="B14" s="62"/>
      <c r="C14" s="62"/>
      <c r="D14" s="60" t="s">
        <v>61</v>
      </c>
      <c r="E14" s="60"/>
      <c r="F14" s="60"/>
      <c r="G14" s="60"/>
      <c r="H14" s="60"/>
      <c r="I14" s="60" t="s">
        <v>292</v>
      </c>
      <c r="J14" s="60"/>
      <c r="K14" s="60"/>
      <c r="L14" s="60"/>
    </row>
    <row r="15" spans="1:12" ht="15.75" customHeight="1">
      <c r="A15" s="60" t="s">
        <v>293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20.25" customHeight="1">
      <c r="A17" s="180" t="s">
        <v>294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33.75" customHeight="1">
      <c r="A18" s="131" t="s">
        <v>66</v>
      </c>
      <c r="B18" s="131"/>
      <c r="C18" s="132" t="s">
        <v>257</v>
      </c>
      <c r="D18" s="132" t="s">
        <v>295</v>
      </c>
      <c r="E18" s="132" t="s">
        <v>296</v>
      </c>
      <c r="F18" s="132" t="s">
        <v>217</v>
      </c>
      <c r="G18" s="132" t="s">
        <v>282</v>
      </c>
      <c r="H18" s="132" t="s">
        <v>223</v>
      </c>
      <c r="I18" s="132" t="s">
        <v>232</v>
      </c>
      <c r="J18" s="132" t="s">
        <v>233</v>
      </c>
      <c r="K18" s="132" t="s">
        <v>284</v>
      </c>
      <c r="L18" s="132" t="s">
        <v>297</v>
      </c>
    </row>
    <row r="19" spans="1:12" ht="14.25" customHeight="1">
      <c r="A19" s="75" t="s">
        <v>298</v>
      </c>
      <c r="B19" s="212" t="s">
        <v>75</v>
      </c>
      <c r="C19" s="213">
        <f>1413-46</f>
        <v>1367</v>
      </c>
      <c r="D19" s="213">
        <f>1551-46</f>
        <v>1505</v>
      </c>
      <c r="E19" s="213">
        <f>2296-46</f>
        <v>2250</v>
      </c>
      <c r="F19" s="213">
        <f>2434-46</f>
        <v>2388</v>
      </c>
      <c r="G19" s="213">
        <f>1297-46</f>
        <v>1251</v>
      </c>
      <c r="H19" s="213">
        <f>1435-46</f>
        <v>1389</v>
      </c>
      <c r="I19" s="213">
        <f>1108-46</f>
        <v>1062</v>
      </c>
      <c r="J19" s="213">
        <f>1168-46</f>
        <v>1122</v>
      </c>
      <c r="K19" s="213">
        <f>1224-46</f>
        <v>1178</v>
      </c>
      <c r="L19" s="213">
        <f>1306-46</f>
        <v>1260</v>
      </c>
    </row>
    <row r="20" spans="1:12" ht="12" customHeight="1">
      <c r="A20" s="69">
        <v>40896</v>
      </c>
      <c r="B20" s="212" t="s">
        <v>75</v>
      </c>
      <c r="C20" s="213">
        <f>1425-46</f>
        <v>1379</v>
      </c>
      <c r="D20" s="213">
        <f>1563-46</f>
        <v>1517</v>
      </c>
      <c r="E20" s="213">
        <f>2322-46</f>
        <v>2276</v>
      </c>
      <c r="F20" s="213">
        <f>2460-46</f>
        <v>2414</v>
      </c>
      <c r="G20" s="213">
        <f>1311-46</f>
        <v>1265</v>
      </c>
      <c r="H20" s="213">
        <f>1449-46</f>
        <v>1403</v>
      </c>
      <c r="I20" s="213">
        <f>1117-46</f>
        <v>1071</v>
      </c>
      <c r="J20" s="213">
        <f>1177-46</f>
        <v>1131</v>
      </c>
      <c r="K20" s="213">
        <f>1233-46</f>
        <v>1187</v>
      </c>
      <c r="L20" s="213">
        <f>1315-46</f>
        <v>1269</v>
      </c>
    </row>
    <row r="21" spans="1:12" ht="13.5" customHeight="1">
      <c r="A21" s="69">
        <v>40903</v>
      </c>
      <c r="B21" s="212" t="s">
        <v>75</v>
      </c>
      <c r="C21" s="213">
        <f>1438-46</f>
        <v>1392</v>
      </c>
      <c r="D21" s="213">
        <f>1576-46</f>
        <v>1530</v>
      </c>
      <c r="E21" s="213">
        <f>2348-46</f>
        <v>2302</v>
      </c>
      <c r="F21" s="213">
        <f>2486-46</f>
        <v>2440</v>
      </c>
      <c r="G21" s="213">
        <f>1324-46</f>
        <v>1278</v>
      </c>
      <c r="H21" s="213">
        <f>1462-46</f>
        <v>1416</v>
      </c>
      <c r="I21" s="213">
        <f>1125-46</f>
        <v>1079</v>
      </c>
      <c r="J21" s="213">
        <f>1185-46</f>
        <v>1139</v>
      </c>
      <c r="K21" s="213">
        <f>1241-46</f>
        <v>1195</v>
      </c>
      <c r="L21" s="213">
        <f>1323-46</f>
        <v>1277</v>
      </c>
    </row>
    <row r="22" spans="1:12" ht="12" customHeight="1">
      <c r="A22" s="69">
        <v>40910</v>
      </c>
      <c r="B22" s="212" t="s">
        <v>75</v>
      </c>
      <c r="C22" s="213">
        <f>1360-46</f>
        <v>1314</v>
      </c>
      <c r="D22" s="213">
        <f>1498-46</f>
        <v>1452</v>
      </c>
      <c r="E22" s="213">
        <f>2205-46</f>
        <v>2159</v>
      </c>
      <c r="F22" s="213">
        <f>2343-46</f>
        <v>2297</v>
      </c>
      <c r="G22" s="213">
        <f>1252-46</f>
        <v>1206</v>
      </c>
      <c r="H22" s="213">
        <f>1390-46</f>
        <v>1344</v>
      </c>
      <c r="I22" s="213">
        <f>1071-46</f>
        <v>1025</v>
      </c>
      <c r="J22" s="213">
        <f>1122-46</f>
        <v>1076</v>
      </c>
      <c r="K22" s="213">
        <f>1187-46</f>
        <v>1141</v>
      </c>
      <c r="L22" s="213">
        <f>1260-46</f>
        <v>1214</v>
      </c>
    </row>
    <row r="23" spans="1:12" ht="12" customHeight="1">
      <c r="A23" s="75" t="s">
        <v>110</v>
      </c>
      <c r="B23" s="212" t="s">
        <v>75</v>
      </c>
      <c r="C23" s="213">
        <f>1326-46</f>
        <v>1280</v>
      </c>
      <c r="D23" s="213">
        <f>1464-46</f>
        <v>1418</v>
      </c>
      <c r="E23" s="213">
        <f>2137-46</f>
        <v>2091</v>
      </c>
      <c r="F23" s="213">
        <f>2275-46</f>
        <v>2229</v>
      </c>
      <c r="G23" s="213">
        <f>1220-46</f>
        <v>1174</v>
      </c>
      <c r="H23" s="213">
        <f>1358-46</f>
        <v>1312</v>
      </c>
      <c r="I23" s="213">
        <f>1048-46</f>
        <v>1002</v>
      </c>
      <c r="J23" s="213">
        <f>1099-46</f>
        <v>1053</v>
      </c>
      <c r="K23" s="213">
        <f>1164-46</f>
        <v>1118</v>
      </c>
      <c r="L23" s="213">
        <f>1237-46</f>
        <v>1191</v>
      </c>
    </row>
    <row r="24" spans="1:12" ht="15" customHeight="1">
      <c r="A24" s="183" t="s">
        <v>64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</row>
    <row r="25" spans="1:12" ht="1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19.5" customHeight="1">
      <c r="A26" s="63" t="s">
        <v>299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33.75" customHeight="1">
      <c r="A27" s="131" t="s">
        <v>66</v>
      </c>
      <c r="B27" s="131"/>
      <c r="C27" s="142" t="s">
        <v>300</v>
      </c>
      <c r="D27" s="142" t="s">
        <v>200</v>
      </c>
      <c r="E27" s="142" t="s">
        <v>296</v>
      </c>
      <c r="F27" s="142" t="s">
        <v>217</v>
      </c>
      <c r="G27" s="142" t="s">
        <v>282</v>
      </c>
      <c r="H27" s="142" t="s">
        <v>223</v>
      </c>
      <c r="I27" s="142" t="s">
        <v>301</v>
      </c>
      <c r="J27" s="132" t="s">
        <v>287</v>
      </c>
      <c r="K27" s="132" t="s">
        <v>285</v>
      </c>
      <c r="L27" s="2"/>
    </row>
    <row r="28" spans="1:12" ht="15">
      <c r="A28" s="75" t="s">
        <v>298</v>
      </c>
      <c r="B28" s="212" t="s">
        <v>75</v>
      </c>
      <c r="C28" s="214">
        <f>1524-46</f>
        <v>1478</v>
      </c>
      <c r="D28" s="214">
        <f>1641-46</f>
        <v>1595</v>
      </c>
      <c r="E28" s="214">
        <f>2485-46</f>
        <v>2439</v>
      </c>
      <c r="F28" s="214">
        <f>2602-46</f>
        <v>2556</v>
      </c>
      <c r="G28" s="214">
        <f>1389-46</f>
        <v>1343</v>
      </c>
      <c r="H28" s="214">
        <f>1506-46</f>
        <v>1460</v>
      </c>
      <c r="I28" s="214">
        <f>1152-46</f>
        <v>1106</v>
      </c>
      <c r="J28" s="214">
        <f>1250-46</f>
        <v>1204</v>
      </c>
      <c r="K28" s="214">
        <f>1269-46</f>
        <v>1223</v>
      </c>
      <c r="L28" s="2"/>
    </row>
    <row r="29" spans="1:12" ht="12.75" customHeight="1">
      <c r="A29" s="69">
        <v>40896</v>
      </c>
      <c r="B29" s="212" t="s">
        <v>75</v>
      </c>
      <c r="C29" s="214">
        <f>1536-46</f>
        <v>1490</v>
      </c>
      <c r="D29" s="214">
        <f>1653-46</f>
        <v>1607</v>
      </c>
      <c r="E29" s="214">
        <f>2511-46</f>
        <v>2465</v>
      </c>
      <c r="F29" s="214">
        <f>2628-46</f>
        <v>2582</v>
      </c>
      <c r="G29" s="214">
        <f>1403-46</f>
        <v>1357</v>
      </c>
      <c r="H29" s="214">
        <f>1520-46</f>
        <v>1474</v>
      </c>
      <c r="I29" s="214">
        <f>1161-46</f>
        <v>1115</v>
      </c>
      <c r="J29" s="214">
        <f>1259-46</f>
        <v>1213</v>
      </c>
      <c r="K29" s="214">
        <f>1278-46</f>
        <v>1232</v>
      </c>
      <c r="L29" s="2"/>
    </row>
    <row r="30" spans="1:12" ht="13.5" customHeight="1">
      <c r="A30" s="69">
        <v>40903</v>
      </c>
      <c r="B30" s="212" t="s">
        <v>75</v>
      </c>
      <c r="C30" s="214">
        <f>1576-46</f>
        <v>1530</v>
      </c>
      <c r="D30" s="214">
        <f>1693-46</f>
        <v>1647</v>
      </c>
      <c r="E30" s="214">
        <f>2579-46</f>
        <v>2533</v>
      </c>
      <c r="F30" s="214">
        <f>2696-46</f>
        <v>2650</v>
      </c>
      <c r="G30" s="214">
        <f>1439-46</f>
        <v>1393</v>
      </c>
      <c r="H30" s="214">
        <f>1556-46</f>
        <v>1510</v>
      </c>
      <c r="I30" s="214">
        <f>1187-46</f>
        <v>1141</v>
      </c>
      <c r="J30" s="214">
        <f>1285-46</f>
        <v>1239</v>
      </c>
      <c r="K30" s="214">
        <f>1304-46</f>
        <v>1258</v>
      </c>
      <c r="L30" s="2"/>
    </row>
    <row r="31" spans="1:12" ht="12.75" customHeight="1">
      <c r="A31" s="69">
        <v>40910</v>
      </c>
      <c r="B31" s="212" t="s">
        <v>75</v>
      </c>
      <c r="C31" s="214">
        <f>1542-46</f>
        <v>1496</v>
      </c>
      <c r="D31" s="214">
        <f>1659-46</f>
        <v>1613</v>
      </c>
      <c r="E31" s="214">
        <f>2511-46</f>
        <v>2465</v>
      </c>
      <c r="F31" s="214">
        <f>2628-46</f>
        <v>2582</v>
      </c>
      <c r="G31" s="214">
        <f>1408-46</f>
        <v>1362</v>
      </c>
      <c r="H31" s="214">
        <f>1525-46</f>
        <v>1479</v>
      </c>
      <c r="I31" s="214">
        <f>1165-46</f>
        <v>1119</v>
      </c>
      <c r="J31" s="214">
        <f>1263-46</f>
        <v>1217</v>
      </c>
      <c r="K31" s="214">
        <f>1282-46</f>
        <v>1236</v>
      </c>
      <c r="L31" s="2"/>
    </row>
    <row r="32" spans="1:12" ht="13.5" customHeight="1">
      <c r="A32" s="75" t="s">
        <v>110</v>
      </c>
      <c r="B32" s="212" t="s">
        <v>75</v>
      </c>
      <c r="C32" s="214">
        <f>1481-46</f>
        <v>1435</v>
      </c>
      <c r="D32" s="214">
        <f>1598-46</f>
        <v>1552</v>
      </c>
      <c r="E32" s="214">
        <f>2401-46</f>
        <v>2355</v>
      </c>
      <c r="F32" s="214">
        <f>2518-46</f>
        <v>2472</v>
      </c>
      <c r="G32" s="214">
        <f>1353-46</f>
        <v>1307</v>
      </c>
      <c r="H32" s="214">
        <f>1470-46</f>
        <v>1424</v>
      </c>
      <c r="I32" s="214">
        <f>1124-46</f>
        <v>1078</v>
      </c>
      <c r="J32" s="214">
        <f>1222-46</f>
        <v>1176</v>
      </c>
      <c r="K32" s="214">
        <f>1241-46</f>
        <v>1195</v>
      </c>
      <c r="L32" s="2"/>
    </row>
    <row r="33" spans="1:12" ht="12.75" customHeight="1">
      <c r="A33" s="146" t="s">
        <v>64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5" spans="1:12" ht="22.5" customHeight="1">
      <c r="A35" s="63" t="s">
        <v>302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33.75" customHeight="1">
      <c r="A36" s="131" t="s">
        <v>66</v>
      </c>
      <c r="B36" s="131"/>
      <c r="C36" s="142" t="s">
        <v>300</v>
      </c>
      <c r="D36" s="142" t="s">
        <v>200</v>
      </c>
      <c r="E36" s="142" t="s">
        <v>296</v>
      </c>
      <c r="F36" s="142" t="s">
        <v>217</v>
      </c>
      <c r="G36" s="142" t="s">
        <v>282</v>
      </c>
      <c r="H36" s="142" t="s">
        <v>223</v>
      </c>
      <c r="I36" s="142" t="s">
        <v>301</v>
      </c>
      <c r="J36" s="132" t="s">
        <v>287</v>
      </c>
      <c r="K36" s="132" t="s">
        <v>285</v>
      </c>
      <c r="L36" s="2"/>
    </row>
    <row r="37" spans="1:12" ht="15.75">
      <c r="A37" s="75" t="s">
        <v>298</v>
      </c>
      <c r="B37" s="151" t="s">
        <v>75</v>
      </c>
      <c r="C37" s="151">
        <f>1453-46</f>
        <v>1407</v>
      </c>
      <c r="D37" s="151">
        <f>1594-46</f>
        <v>1548</v>
      </c>
      <c r="E37" s="151">
        <f>2401-46</f>
        <v>2355</v>
      </c>
      <c r="F37" s="151">
        <f>2542-46</f>
        <v>2496</v>
      </c>
      <c r="G37" s="151">
        <f>1332-46</f>
        <v>1286</v>
      </c>
      <c r="H37" s="151">
        <f>1473-46</f>
        <v>1427</v>
      </c>
      <c r="I37" s="151">
        <f>1138-46</f>
        <v>1092</v>
      </c>
      <c r="J37" s="151">
        <f>1256-46</f>
        <v>1210</v>
      </c>
      <c r="K37" s="151">
        <f>1279-46</f>
        <v>1233</v>
      </c>
      <c r="L37" s="2"/>
    </row>
    <row r="38" spans="1:12" ht="15.75">
      <c r="A38" s="69">
        <v>40896</v>
      </c>
      <c r="B38" s="151" t="s">
        <v>75</v>
      </c>
      <c r="C38" s="151">
        <f>1465-46</f>
        <v>1419</v>
      </c>
      <c r="D38" s="151">
        <f>1606-46</f>
        <v>1560</v>
      </c>
      <c r="E38" s="151">
        <f>2427-46</f>
        <v>2381</v>
      </c>
      <c r="F38" s="151">
        <f>2568-46</f>
        <v>2522</v>
      </c>
      <c r="G38" s="151">
        <f>1346-46</f>
        <v>1300</v>
      </c>
      <c r="H38" s="151">
        <f>1487-46</f>
        <v>1441</v>
      </c>
      <c r="I38" s="151">
        <f>1147-46</f>
        <v>1101</v>
      </c>
      <c r="J38" s="151">
        <f>1265-46</f>
        <v>1219</v>
      </c>
      <c r="K38" s="151">
        <f>1288-46</f>
        <v>1242</v>
      </c>
      <c r="L38" s="2"/>
    </row>
    <row r="39" spans="1:12" ht="15.75">
      <c r="A39" s="69">
        <v>40903</v>
      </c>
      <c r="B39" s="151" t="s">
        <v>75</v>
      </c>
      <c r="C39" s="151">
        <f>1495-46</f>
        <v>1449</v>
      </c>
      <c r="D39" s="151">
        <f>1636-46</f>
        <v>1590</v>
      </c>
      <c r="E39" s="151">
        <f>2483-46</f>
        <v>2437</v>
      </c>
      <c r="F39" s="151">
        <f>2624-46</f>
        <v>2578</v>
      </c>
      <c r="G39" s="151">
        <f>1373-46</f>
        <v>1327</v>
      </c>
      <c r="H39" s="151">
        <f>1514-46</f>
        <v>1468</v>
      </c>
      <c r="I39" s="151">
        <f>1166-46</f>
        <v>1120</v>
      </c>
      <c r="J39" s="151">
        <f>1284-46</f>
        <v>1238</v>
      </c>
      <c r="K39" s="151">
        <f>1307-46</f>
        <v>1261</v>
      </c>
      <c r="L39" s="2"/>
    </row>
    <row r="40" spans="1:12" ht="13.5" customHeight="1">
      <c r="A40" s="69">
        <v>40910</v>
      </c>
      <c r="B40" s="151" t="s">
        <v>75</v>
      </c>
      <c r="C40" s="151">
        <f>1461-46</f>
        <v>1415</v>
      </c>
      <c r="D40" s="151">
        <f>1602-46</f>
        <v>1556</v>
      </c>
      <c r="E40" s="151">
        <f>2415-46</f>
        <v>2369</v>
      </c>
      <c r="F40" s="151">
        <f>2556-46</f>
        <v>2510</v>
      </c>
      <c r="G40" s="151">
        <f>1342-46</f>
        <v>1296</v>
      </c>
      <c r="H40" s="151">
        <f>1483-46</f>
        <v>1437</v>
      </c>
      <c r="I40" s="151">
        <f>1144-46</f>
        <v>1098</v>
      </c>
      <c r="J40" s="151">
        <f>1262-46</f>
        <v>1216</v>
      </c>
      <c r="K40" s="151">
        <f>1285-46</f>
        <v>1239</v>
      </c>
      <c r="L40" s="2"/>
    </row>
    <row r="41" spans="1:12" ht="15" customHeight="1">
      <c r="A41" s="175" t="s">
        <v>110</v>
      </c>
      <c r="B41" s="151" t="s">
        <v>75</v>
      </c>
      <c r="C41" s="151">
        <f>1410-46</f>
        <v>1364</v>
      </c>
      <c r="D41" s="151">
        <f>1551-46</f>
        <v>1505</v>
      </c>
      <c r="E41" s="151">
        <f>2317-46</f>
        <v>2271</v>
      </c>
      <c r="F41" s="151">
        <f>2458-46</f>
        <v>2412</v>
      </c>
      <c r="G41" s="151">
        <f>1296-46</f>
        <v>1250</v>
      </c>
      <c r="H41" s="151">
        <f>1437-46</f>
        <v>1391</v>
      </c>
      <c r="I41" s="151">
        <f>1110-46</f>
        <v>1064</v>
      </c>
      <c r="J41" s="151">
        <f>1228-46</f>
        <v>1182</v>
      </c>
      <c r="K41" s="151">
        <f>1251-46</f>
        <v>1205</v>
      </c>
      <c r="L41" s="2"/>
    </row>
    <row r="42" spans="1:12" ht="12.75" customHeight="1">
      <c r="A42" s="183" t="s">
        <v>64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2"/>
    </row>
    <row r="43" spans="1:12" ht="18.75" customHeight="1">
      <c r="A43" s="144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2"/>
    </row>
    <row r="44" spans="1:12" ht="20.25" customHeight="1">
      <c r="A44" s="63" t="s">
        <v>303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45" customHeight="1">
      <c r="A45" s="131" t="s">
        <v>66</v>
      </c>
      <c r="B45" s="131"/>
      <c r="C45" s="142" t="s">
        <v>300</v>
      </c>
      <c r="D45" s="142" t="s">
        <v>200</v>
      </c>
      <c r="E45" s="142" t="s">
        <v>296</v>
      </c>
      <c r="F45" s="142" t="s">
        <v>217</v>
      </c>
      <c r="G45" s="142" t="s">
        <v>282</v>
      </c>
      <c r="H45" s="142" t="s">
        <v>223</v>
      </c>
      <c r="I45" s="142" t="s">
        <v>304</v>
      </c>
      <c r="J45" s="132" t="s">
        <v>287</v>
      </c>
      <c r="K45" s="132" t="s">
        <v>285</v>
      </c>
      <c r="L45" s="2"/>
    </row>
    <row r="46" spans="1:12" ht="15.75">
      <c r="A46" s="75" t="s">
        <v>298</v>
      </c>
      <c r="B46" s="151" t="s">
        <v>75</v>
      </c>
      <c r="C46" s="145">
        <f>1513-46</f>
        <v>1467</v>
      </c>
      <c r="D46" s="145">
        <f>1684-46</f>
        <v>1638</v>
      </c>
      <c r="E46" s="145">
        <f>2533-46</f>
        <v>2487</v>
      </c>
      <c r="F46" s="145">
        <f>2704-46</f>
        <v>2658</v>
      </c>
      <c r="G46" s="145">
        <f>1392-46</f>
        <v>1346</v>
      </c>
      <c r="H46" s="145">
        <f>1563-46</f>
        <v>1517</v>
      </c>
      <c r="I46" s="145">
        <f>1165-46</f>
        <v>1119</v>
      </c>
      <c r="J46" s="145">
        <f>1308-46</f>
        <v>1262</v>
      </c>
      <c r="K46" s="145">
        <f>1336-46</f>
        <v>1290</v>
      </c>
      <c r="L46" s="2"/>
    </row>
    <row r="47" spans="1:12" ht="15.75">
      <c r="A47" s="69">
        <v>40896</v>
      </c>
      <c r="B47" s="151" t="s">
        <v>75</v>
      </c>
      <c r="C47" s="145">
        <f>1525-46</f>
        <v>1479</v>
      </c>
      <c r="D47" s="145">
        <f>1696-47</f>
        <v>1649</v>
      </c>
      <c r="E47" s="145">
        <f>2559-46</f>
        <v>2513</v>
      </c>
      <c r="F47" s="145">
        <f>2730-46</f>
        <v>2684</v>
      </c>
      <c r="G47" s="145">
        <f>1406-46</f>
        <v>1360</v>
      </c>
      <c r="H47" s="145">
        <f>1577-46</f>
        <v>1531</v>
      </c>
      <c r="I47" s="145">
        <f>1174-46</f>
        <v>1128</v>
      </c>
      <c r="J47" s="145">
        <f>1317-46</f>
        <v>1271</v>
      </c>
      <c r="K47" s="145">
        <f>1345-46</f>
        <v>1299</v>
      </c>
      <c r="L47" s="2"/>
    </row>
    <row r="48" spans="1:12" ht="15.75">
      <c r="A48" s="69">
        <v>40903</v>
      </c>
      <c r="B48" s="151" t="s">
        <v>75</v>
      </c>
      <c r="C48" s="145">
        <f>1625-46</f>
        <v>1579</v>
      </c>
      <c r="D48" s="145">
        <f>1862-46</f>
        <v>1816</v>
      </c>
      <c r="E48" s="145">
        <f>2753-46</f>
        <v>2707</v>
      </c>
      <c r="F48" s="145">
        <f>2990-46</f>
        <v>2944</v>
      </c>
      <c r="G48" s="145">
        <f>1499-46</f>
        <v>1453</v>
      </c>
      <c r="H48" s="145">
        <f>1736-46</f>
        <v>1690</v>
      </c>
      <c r="I48" s="145">
        <f>1240-46</f>
        <v>1194</v>
      </c>
      <c r="J48" s="145">
        <f>1438-46</f>
        <v>1392</v>
      </c>
      <c r="K48" s="145">
        <f>1477-46</f>
        <v>1431</v>
      </c>
      <c r="L48" s="2"/>
    </row>
    <row r="49" spans="1:12" ht="15.75">
      <c r="A49" s="69">
        <v>40910</v>
      </c>
      <c r="B49" s="151" t="s">
        <v>75</v>
      </c>
      <c r="C49" s="145">
        <f>1504-46</f>
        <v>1458</v>
      </c>
      <c r="D49" s="145">
        <f>1675-46</f>
        <v>1629</v>
      </c>
      <c r="E49" s="145">
        <f>2517-48</f>
        <v>2469</v>
      </c>
      <c r="F49" s="145">
        <f>2688-46</f>
        <v>2642</v>
      </c>
      <c r="G49" s="145">
        <f>1388-46</f>
        <v>1342</v>
      </c>
      <c r="H49" s="145">
        <f>1559-46</f>
        <v>1513</v>
      </c>
      <c r="I49" s="145">
        <f>1160-46</f>
        <v>1114</v>
      </c>
      <c r="J49" s="145">
        <f>1303-46</f>
        <v>1257</v>
      </c>
      <c r="K49" s="145">
        <f>1331-46</f>
        <v>1285</v>
      </c>
      <c r="L49" s="2"/>
    </row>
    <row r="50" spans="1:12" ht="15.75">
      <c r="A50" s="75" t="s">
        <v>110</v>
      </c>
      <c r="B50" s="151" t="s">
        <v>75</v>
      </c>
      <c r="C50" s="145">
        <f>1470-46</f>
        <v>1424</v>
      </c>
      <c r="D50" s="145">
        <f>1641-46</f>
        <v>1595</v>
      </c>
      <c r="E50" s="145">
        <f>2449-46</f>
        <v>2403</v>
      </c>
      <c r="F50" s="145">
        <f>2620-46</f>
        <v>2574</v>
      </c>
      <c r="G50" s="145">
        <f>1356-46</f>
        <v>1310</v>
      </c>
      <c r="H50" s="145">
        <f>1527-46</f>
        <v>1481</v>
      </c>
      <c r="I50" s="145">
        <f>1137-46</f>
        <v>1091</v>
      </c>
      <c r="J50" s="145">
        <f>1280-46</f>
        <v>1234</v>
      </c>
      <c r="K50" s="145">
        <f>1308-46</f>
        <v>1262</v>
      </c>
      <c r="L50" s="2"/>
    </row>
    <row r="51" spans="1:12" ht="12.75" customHeight="1">
      <c r="A51" s="183" t="s">
        <v>64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 selectLockedCells="1" selectUnlockedCells="1"/>
  <mergeCells count="26">
    <mergeCell ref="A1:L1"/>
    <mergeCell ref="A2:L2"/>
    <mergeCell ref="A5:L5"/>
    <mergeCell ref="A6:L6"/>
    <mergeCell ref="E7:G7"/>
    <mergeCell ref="A8:L8"/>
    <mergeCell ref="E9:F9"/>
    <mergeCell ref="A10:L10"/>
    <mergeCell ref="A11:L11"/>
    <mergeCell ref="A12:L12"/>
    <mergeCell ref="A13:L13"/>
    <mergeCell ref="D14:H14"/>
    <mergeCell ref="I14:L14"/>
    <mergeCell ref="A15:L15"/>
    <mergeCell ref="A17:L17"/>
    <mergeCell ref="A18:B18"/>
    <mergeCell ref="A24:L24"/>
    <mergeCell ref="A26:L26"/>
    <mergeCell ref="A27:B27"/>
    <mergeCell ref="A33:L33"/>
    <mergeCell ref="A35:L35"/>
    <mergeCell ref="A36:B36"/>
    <mergeCell ref="A42:K42"/>
    <mergeCell ref="A44:L44"/>
    <mergeCell ref="A45:B45"/>
    <mergeCell ref="A51:K51"/>
  </mergeCells>
  <printOptions/>
  <pageMargins left="0.1701388888888889" right="0.1597222222222222" top="0.25" bottom="0.2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OLEGF</dc:creator>
  <cp:keywords/>
  <dc:description/>
  <cp:lastModifiedBy/>
  <cp:lastPrinted>2011-11-23T16:12:38Z</cp:lastPrinted>
  <dcterms:created xsi:type="dcterms:W3CDTF">2011-07-15T10:34:40Z</dcterms:created>
  <dcterms:modified xsi:type="dcterms:W3CDTF">2012-01-20T15:16:52Z</dcterms:modified>
  <cp:category/>
  <cp:version/>
  <cp:contentType/>
  <cp:contentStatus/>
  <cp:revision>1</cp:revision>
</cp:coreProperties>
</file>